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P:\ABE\ForskarUTB\Öppna studieplats\Finansieringsplan kopplat till antagning\"/>
    </mc:Choice>
  </mc:AlternateContent>
  <xr:revisionPtr revIDLastSave="0" documentId="13_ncr:1_{AF1DE4AA-EAF1-4143-AB50-B26D9AE16ADC}" xr6:coauthVersionLast="47" xr6:coauthVersionMax="47" xr10:uidLastSave="{00000000-0000-0000-0000-000000000000}"/>
  <workbookProtection workbookAlgorithmName="SHA-512" workbookHashValue="lwIr8pUJp5VHX5dVMTPABWxPYveeZkA4pXIon8JNRD5i4n0PzCmPDhWMdj32m/ojk+3WILKWJ0ofUqZx3Z7ZzA==" workbookSaltValue="03SDD8tJaRh38yQlRGYp0w==" workbookSpinCount="100000" lockStructure="1"/>
  <bookViews>
    <workbookView xWindow="6375" yWindow="345" windowWidth="14655" windowHeight="20385" xr2:uid="{00000000-000D-0000-FFFF-FFFF00000000}"/>
  </bookViews>
  <sheets>
    <sheet name="Kalkyl" sheetId="1" r:id="rId1"/>
    <sheet name="Underlag - låst" sheetId="2" state="hidden" r:id="rId2"/>
    <sheet name="Lokaler" sheetId="7" state="hidden" r:id="rId3"/>
    <sheet name="SUHF" sheetId="6" state="hidden" r:id="rId4"/>
    <sheet name="Lokaler - låst" sheetId="3" state="hidden" r:id="rId5"/>
    <sheet name="Vägledning" sheetId="8" r:id="rId6"/>
    <sheet name="Guide" sheetId="9" r:id="rId7"/>
    <sheet name="TB  - låst" sheetId="4" state="hidden" r:id="rId8"/>
    <sheet name="Info" sheetId="5" state="hidden" r:id="rId9"/>
  </sheets>
  <definedNames>
    <definedName name="_xlnm._FilterDatabase" localSheetId="0" hidden="1">Kalkyl!#REF!</definedName>
    <definedName name="_Hlk39764071" localSheetId="5">Vägledning!$A$4</definedName>
    <definedName name="_xlnm.Print_Area" localSheetId="0">Kalkyl!$H$1:$Q$53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2" l="1"/>
  <c r="F5" i="2"/>
  <c r="F6" i="2"/>
  <c r="F7" i="2"/>
  <c r="F8" i="2"/>
  <c r="F9" i="2"/>
  <c r="E4" i="2"/>
  <c r="E5" i="2"/>
  <c r="E6" i="2"/>
  <c r="E7" i="2"/>
  <c r="E8" i="2"/>
  <c r="E9" i="2"/>
  <c r="G15" i="2" l="1"/>
  <c r="H15" i="2" s="1"/>
  <c r="G12" i="2" l="1"/>
  <c r="G23" i="2" s="1"/>
  <c r="F12" i="2"/>
  <c r="F23" i="2" s="1"/>
  <c r="E12" i="2"/>
  <c r="E23" i="2" s="1"/>
  <c r="D12" i="2"/>
  <c r="D23" i="2" s="1"/>
  <c r="C12" i="2"/>
  <c r="C23" i="2" s="1"/>
  <c r="P14" i="1" l="1"/>
  <c r="P15" i="1"/>
  <c r="P16" i="1"/>
  <c r="P17" i="1"/>
  <c r="P13" i="1"/>
  <c r="D24" i="2" l="1"/>
  <c r="E24" i="2"/>
  <c r="F24" i="2"/>
  <c r="G24" i="2"/>
  <c r="C24" i="2"/>
  <c r="J21" i="1" l="1"/>
  <c r="L21" i="1" l="1"/>
  <c r="O21" i="1"/>
  <c r="M21" i="1"/>
  <c r="N21" i="1"/>
  <c r="K21" i="1"/>
  <c r="A18" i="1"/>
  <c r="J18" i="1" s="1"/>
  <c r="E5" i="1" l="1"/>
  <c r="E4" i="1"/>
  <c r="E6" i="1" s="1"/>
  <c r="J10" i="1"/>
  <c r="B11" i="2" l="1"/>
  <c r="C11" i="2" s="1"/>
  <c r="D11" i="2" s="1"/>
  <c r="E11" i="2" s="1"/>
  <c r="F11" i="2" s="1"/>
  <c r="G11" i="2" s="1"/>
  <c r="K10" i="1"/>
  <c r="L10" i="1" s="1"/>
  <c r="M10" i="1" s="1"/>
  <c r="N10" i="1" s="1"/>
  <c r="O10" i="1" s="1"/>
  <c r="F18" i="1"/>
  <c r="O18" i="1" s="1"/>
  <c r="C18" i="1"/>
  <c r="L18" i="1" s="1"/>
  <c r="B18" i="1"/>
  <c r="K18" i="1" s="1"/>
  <c r="E18" i="1"/>
  <c r="N18" i="1" s="1"/>
  <c r="D18" i="1"/>
  <c r="M18" i="1" s="1"/>
  <c r="E7" i="1"/>
  <c r="O19" i="1" l="1"/>
  <c r="P18" i="1"/>
  <c r="H24" i="1"/>
  <c r="J20" i="7" l="1"/>
  <c r="J21" i="7" s="1"/>
  <c r="I20" i="7"/>
  <c r="I21" i="7" s="1"/>
  <c r="H20" i="7"/>
  <c r="H21" i="7" s="1"/>
  <c r="G20" i="7"/>
  <c r="G21" i="7" s="1"/>
  <c r="F20" i="7"/>
  <c r="F21" i="7" s="1"/>
  <c r="E20" i="7"/>
  <c r="E21" i="7" s="1"/>
  <c r="D20" i="7"/>
  <c r="D21" i="7" s="1"/>
  <c r="C20" i="7"/>
  <c r="C21" i="7" s="1"/>
  <c r="B20" i="7"/>
  <c r="D18" i="2" l="1"/>
  <c r="C18" i="2"/>
  <c r="A18" i="2"/>
  <c r="B18" i="2"/>
  <c r="K19" i="1"/>
  <c r="L19" i="1"/>
  <c r="E18" i="2" l="1"/>
  <c r="F18" i="2"/>
  <c r="J19" i="1"/>
  <c r="J28" i="1" l="1"/>
  <c r="K28" i="1"/>
  <c r="L28" i="1"/>
  <c r="M28" i="1"/>
  <c r="N28" i="1"/>
  <c r="O28" i="1"/>
  <c r="J26" i="1"/>
  <c r="J27" i="1"/>
  <c r="J24" i="1"/>
  <c r="J29" i="1"/>
  <c r="J25" i="1"/>
  <c r="L25" i="1"/>
  <c r="M25" i="1"/>
  <c r="O26" i="1"/>
  <c r="K29" i="1"/>
  <c r="N29" i="1"/>
  <c r="O27" i="1"/>
  <c r="M27" i="1"/>
  <c r="O24" i="1"/>
  <c r="M24" i="1"/>
  <c r="K26" i="1"/>
  <c r="K27" i="1"/>
  <c r="L26" i="1"/>
  <c r="N26" i="1"/>
  <c r="O25" i="1"/>
  <c r="K24" i="1"/>
  <c r="N24" i="1"/>
  <c r="N27" i="1"/>
  <c r="K25" i="1"/>
  <c r="M26" i="1"/>
  <c r="L27" i="1"/>
  <c r="M29" i="1"/>
  <c r="N25" i="1"/>
  <c r="L29" i="1"/>
  <c r="L24" i="1"/>
  <c r="O29" i="1"/>
  <c r="I25" i="1"/>
  <c r="I26" i="1"/>
  <c r="I27" i="1"/>
  <c r="I28" i="1"/>
  <c r="I24" i="1"/>
  <c r="O30" i="1" l="1"/>
  <c r="P27" i="1"/>
  <c r="P28" i="1"/>
  <c r="P25" i="1"/>
  <c r="P24" i="1"/>
  <c r="P26" i="1"/>
  <c r="P29" i="1"/>
  <c r="I23" i="1"/>
  <c r="H25" i="1"/>
  <c r="H26" i="1"/>
  <c r="H27" i="1"/>
  <c r="H28" i="1"/>
  <c r="H29" i="1"/>
  <c r="H23" i="1"/>
  <c r="P30" i="1" l="1"/>
  <c r="D15" i="4"/>
  <c r="P15" i="4"/>
  <c r="N15" i="4"/>
  <c r="L15" i="4"/>
  <c r="J15" i="4"/>
  <c r="H15" i="4"/>
  <c r="F15" i="4"/>
  <c r="N19" i="1"/>
  <c r="P19" i="1" l="1"/>
  <c r="M19" i="1"/>
  <c r="K25" i="4"/>
  <c r="Q13" i="4"/>
  <c r="O13" i="4"/>
  <c r="M13" i="4"/>
  <c r="K13" i="4"/>
  <c r="I13" i="4"/>
  <c r="G13" i="4"/>
  <c r="E13" i="4"/>
  <c r="D8" i="3"/>
  <c r="K30" i="1" l="1"/>
  <c r="J30" i="1"/>
  <c r="L30" i="1"/>
  <c r="M30" i="1"/>
  <c r="N30" i="1"/>
</calcChain>
</file>

<file path=xl/sharedStrings.xml><?xml version="1.0" encoding="utf-8"?>
<sst xmlns="http://schemas.openxmlformats.org/spreadsheetml/2006/main" count="210" uniqueCount="167">
  <si>
    <t>Avdelning</t>
  </si>
  <si>
    <t>Totalt</t>
  </si>
  <si>
    <t>%</t>
  </si>
  <si>
    <t>Välj Institution</t>
  </si>
  <si>
    <t>Institution</t>
  </si>
  <si>
    <t>AL - SEED</t>
  </si>
  <si>
    <t>Lokal-inst</t>
  </si>
  <si>
    <t>A Skolan för arkitektur och samhällsbyggnad (ABE)</t>
  </si>
  <si>
    <t>AC - ABE Centra</t>
  </si>
  <si>
    <t>AD - ARKITEKTUR</t>
  </si>
  <si>
    <t>AF - Byggvetenskap</t>
  </si>
  <si>
    <t>AG - Samhällsplanering och miljö</t>
  </si>
  <si>
    <t>AI - Fastigheter och byggande</t>
  </si>
  <si>
    <t>AK - Filosofi och historia</t>
  </si>
  <si>
    <t>Kostnader 2018 forskning</t>
  </si>
  <si>
    <t>AA - ABE Arkitektur och samhällsbyggnad</t>
  </si>
  <si>
    <t>U</t>
  </si>
  <si>
    <t>F</t>
  </si>
  <si>
    <t>LÖNEBAS AVDELNINGSNIVÅ</t>
  </si>
  <si>
    <t>LÖNEBAS PROJEKT/AVDELNING</t>
  </si>
  <si>
    <t>Gem KTH</t>
  </si>
  <si>
    <t>Gem skola</t>
  </si>
  <si>
    <t>Gem avd</t>
  </si>
  <si>
    <t xml:space="preserve">Total OH </t>
  </si>
  <si>
    <t>TRIGGRAR</t>
  </si>
  <si>
    <t>Gem KTH (TBK)</t>
  </si>
  <si>
    <t>Gem skola (TBS)</t>
  </si>
  <si>
    <t>Gem avd (TBA)</t>
  </si>
  <si>
    <t>Lön</t>
  </si>
  <si>
    <t>lokaler</t>
  </si>
  <si>
    <t>FOFU</t>
  </si>
  <si>
    <t>OH - FOFU</t>
  </si>
  <si>
    <t>OH-GRU</t>
  </si>
  <si>
    <t>GRU</t>
  </si>
  <si>
    <t>Kostnad kr</t>
  </si>
  <si>
    <t>Omfattning %</t>
  </si>
  <si>
    <t xml:space="preserve">Summa </t>
  </si>
  <si>
    <t>Underskrift</t>
  </si>
  <si>
    <t>Avdelningschef</t>
  </si>
  <si>
    <t>Prefekt</t>
  </si>
  <si>
    <t>……………………………………………………..</t>
  </si>
  <si>
    <t>Personalkostnad inkl LKP,  OH och lokaler</t>
  </si>
  <si>
    <t>Fyll i gula fält</t>
  </si>
  <si>
    <t>Enkel kalkyl vd anställning</t>
  </si>
  <si>
    <t>Kalkylen beräknar personalkostnader inkl oh och lokaler</t>
  </si>
  <si>
    <t>Välj institution i rullisten</t>
  </si>
  <si>
    <t>Startdatum</t>
  </si>
  <si>
    <t>Slutdatum</t>
  </si>
  <si>
    <t>Vald institution</t>
  </si>
  <si>
    <t>2019</t>
  </si>
  <si>
    <t>Utfall</t>
  </si>
  <si>
    <t>Undertryck objekt - Summan är null eller noll (rader och kolumner)</t>
  </si>
  <si>
    <t>Belopp omvänt tecken</t>
  </si>
  <si>
    <t>AA ABE Arkitektur och samhällsbyggnad</t>
  </si>
  <si>
    <t>AC ABE Centra</t>
  </si>
  <si>
    <t>AD ARKITEKTUR</t>
  </si>
  <si>
    <t>AF Byggvetenskap</t>
  </si>
  <si>
    <t>AG Samhällsplanering och miljö</t>
  </si>
  <si>
    <t>AI Fastigheter och byggande</t>
  </si>
  <si>
    <t>AK Filosofi och historia</t>
  </si>
  <si>
    <t>AL SEED</t>
  </si>
  <si>
    <t>Personalkostnader</t>
  </si>
  <si>
    <t>Lokalkostnader</t>
  </si>
  <si>
    <t>Resor och traktamenten</t>
  </si>
  <si>
    <t>Utrustning exkl avskr</t>
  </si>
  <si>
    <t>Konsulttjänster</t>
  </si>
  <si>
    <t>Drift och övrigt</t>
  </si>
  <si>
    <t>Täckningsbidrag KTH</t>
  </si>
  <si>
    <t>Täckningsbidrag Skola</t>
  </si>
  <si>
    <t>Täckningsbidrag Avdelning</t>
  </si>
  <si>
    <t>Avskrivningar</t>
  </si>
  <si>
    <t>Finansiella kostnader</t>
  </si>
  <si>
    <t>Kostnader</t>
  </si>
  <si>
    <r>
      <rPr>
        <sz val="11"/>
        <color theme="1"/>
        <rFont val="Calibri"/>
        <family val="2"/>
        <scheme val="minor"/>
      </rPr>
      <t xml:space="preserve"> - </t>
    </r>
    <r>
      <rPr>
        <sz val="11"/>
        <color theme="1"/>
        <rFont val="Calibri"/>
        <family val="2"/>
        <scheme val="minor"/>
      </rPr>
      <t>1</t>
    </r>
    <r>
      <rPr>
        <sz val="11"/>
        <color theme="1"/>
        <rFont val="Calibri"/>
        <family val="2"/>
        <scheme val="minor"/>
      </rPr>
      <t xml:space="preserve"> - </t>
    </r>
  </si>
  <si>
    <t>Årlig löneökning</t>
  </si>
  <si>
    <t>Datum</t>
  </si>
  <si>
    <t>Namnförtydligande</t>
  </si>
  <si>
    <t>…................................................</t>
  </si>
  <si>
    <t>……………………………………………………….................</t>
  </si>
  <si>
    <t>Summa  (alltid 100% per år)</t>
  </si>
  <si>
    <t>Institutionstjänstgöring</t>
  </si>
  <si>
    <t>Ange i % andelen av totala finansieringskostnaden under året</t>
  </si>
  <si>
    <t>Ekonom</t>
  </si>
  <si>
    <t>Tillstyrks att medel finns på angivna projekt</t>
  </si>
  <si>
    <t>Månadslön år 1</t>
  </si>
  <si>
    <t>AD - Arkitektur</t>
  </si>
  <si>
    <t>Projektnr</t>
  </si>
  <si>
    <t>Finansiär</t>
  </si>
  <si>
    <t>Finansiering</t>
  </si>
  <si>
    <t>Finansieringsplan - doktorandanställning</t>
  </si>
  <si>
    <t>Finansieringsplanen är en del av handläggningsordningen för öppnandet av studieplats.</t>
  </si>
  <si>
    <t>https://intra.kth.se/anstallning/anstallningsvillkor/lon/doktorandstegen-1.572915</t>
  </si>
  <si>
    <t xml:space="preserve">Vägledning i användandet av kalkylbladet ”Finansieringsplan - doktorandanställning” </t>
  </si>
  <si>
    <t xml:space="preserve">Ansökan om ett öppnande omfattar även resursunderlaget och annonsunderlaget. </t>
  </si>
  <si>
    <r>
      <t xml:space="preserve">1. </t>
    </r>
    <r>
      <rPr>
        <b/>
        <sz val="11"/>
        <color rgb="FF000000"/>
        <rFont val="Georgia"/>
        <family val="1"/>
      </rPr>
      <t>Kalkylblad</t>
    </r>
  </si>
  <si>
    <r>
      <t xml:space="preserve">1.a) </t>
    </r>
    <r>
      <rPr>
        <b/>
        <sz val="11"/>
        <color rgb="FF000000"/>
        <rFont val="Georgia"/>
        <family val="1"/>
      </rPr>
      <t>Kalkyl</t>
    </r>
    <r>
      <rPr>
        <sz val="11"/>
        <color rgb="FF000000"/>
        <rFont val="Georgia"/>
        <family val="1"/>
      </rPr>
      <t xml:space="preserve"> - Användaren fyller i sina uppgifter i de gula fälten. Gråa fält skall inte röras och de flesta av dem är skyddade mot ifyllnad.</t>
    </r>
  </si>
  <si>
    <r>
      <t xml:space="preserve">1.b) </t>
    </r>
    <r>
      <rPr>
        <b/>
        <sz val="11"/>
        <color rgb="FF000000"/>
        <rFont val="Georgia"/>
        <family val="1"/>
      </rPr>
      <t>Vägledning</t>
    </r>
    <r>
      <rPr>
        <sz val="11"/>
        <color rgb="FF000000"/>
        <rFont val="Georgia"/>
        <family val="1"/>
      </rPr>
      <t xml:space="preserve"> och </t>
    </r>
    <r>
      <rPr>
        <b/>
        <sz val="11"/>
        <color rgb="FF000000"/>
        <rFont val="Georgia"/>
        <family val="1"/>
      </rPr>
      <t>Guide</t>
    </r>
    <r>
      <rPr>
        <sz val="11"/>
        <color rgb="FF000000"/>
        <rFont val="Georgia"/>
        <family val="1"/>
      </rPr>
      <t xml:space="preserve"> - Innehållet i detta dokument på svenska respektive engelska.</t>
    </r>
  </si>
  <si>
    <r>
      <t xml:space="preserve">2. </t>
    </r>
    <r>
      <rPr>
        <b/>
        <sz val="11"/>
        <color rgb="FF000000"/>
        <rFont val="Georgia"/>
        <family val="1"/>
      </rPr>
      <t>Bladet Kalkyl med ”Finansieringsplan - doktorandanställning”</t>
    </r>
  </si>
  <si>
    <r>
      <t xml:space="preserve">2.1. </t>
    </r>
    <r>
      <rPr>
        <b/>
        <sz val="11"/>
        <color rgb="FF000000"/>
        <rFont val="Georgia"/>
        <family val="1"/>
      </rPr>
      <t xml:space="preserve">Nyckeltal - </t>
    </r>
    <r>
      <rPr>
        <sz val="11"/>
        <color rgb="FF000000"/>
        <rFont val="Georgia"/>
        <family val="1"/>
      </rPr>
      <t>Dessa i kalkylbladet dolda uppgifter ligger till grund för de uträkningar som bladet utför. Till höger om rubriken anges för vilket år de gäller. I början av varje år går det bra att använda föregående års nyckeltal.</t>
    </r>
  </si>
  <si>
    <r>
      <t>2.2.</t>
    </r>
    <r>
      <rPr>
        <b/>
        <sz val="11"/>
        <color rgb="FF000000"/>
        <rFont val="Georgia"/>
        <family val="1"/>
      </rPr>
      <t xml:space="preserve"> Tabellen med inledande uppgifter - Mycket viktig att fylla i, påverkar andra celler i kalkylbladet, t.ex. glöm inte välja institution.</t>
    </r>
  </si>
  <si>
    <r>
      <t xml:space="preserve">Om uppgifter utelämnas leder det till att celler som bygger på dessa uppgifter får innehållet </t>
    </r>
    <r>
      <rPr>
        <b/>
        <sz val="11"/>
        <color rgb="FF000000"/>
        <rFont val="Georgia"/>
        <family val="1"/>
      </rPr>
      <t>”värdefel”</t>
    </r>
    <r>
      <rPr>
        <sz val="11"/>
        <color rgb="FF000000"/>
        <rFont val="Georgia"/>
        <family val="1"/>
      </rPr>
      <t xml:space="preserve">, på engelska </t>
    </r>
    <r>
      <rPr>
        <b/>
        <sz val="11"/>
        <color rgb="FF000000"/>
        <rFont val="Georgia"/>
        <family val="1"/>
      </rPr>
      <t>”value”</t>
    </r>
    <r>
      <rPr>
        <sz val="11"/>
        <color rgb="FF000000"/>
        <rFont val="Georgia"/>
        <family val="1"/>
      </rPr>
      <t>. Detta fel fås också om det är fel format på inmatade uppgifter. Årtalen i de två tabellernas kolumner får årtal med start på 1900 om startdatum-rutan lämnats tom.</t>
    </r>
  </si>
  <si>
    <r>
      <t xml:space="preserve">2.3. </t>
    </r>
    <r>
      <rPr>
        <b/>
        <sz val="11"/>
        <color rgb="FF000000"/>
        <rFont val="Georgia"/>
        <family val="1"/>
      </rPr>
      <t xml:space="preserve">Rullgardiner: Examensmål och Institution - </t>
    </r>
    <r>
      <rPr>
        <sz val="11"/>
        <color rgb="FF000000"/>
        <rFont val="Georgia"/>
        <family val="1"/>
      </rPr>
      <t>När man klickar på de gula fälten intill Examensmål och Institution så dyker det upp knappar med rullgardinsmenyer till höger om de gula fälten.</t>
    </r>
  </si>
  <si>
    <r>
      <t xml:space="preserve">2.4. </t>
    </r>
    <r>
      <rPr>
        <b/>
        <sz val="11"/>
        <color rgb="FF000000"/>
        <rFont val="Georgia"/>
        <family val="1"/>
      </rPr>
      <t xml:space="preserve">Startdatum och Slutdatum - </t>
    </r>
    <r>
      <rPr>
        <sz val="11"/>
        <color rgb="FF000000"/>
        <rFont val="Georgia"/>
        <family val="1"/>
      </rPr>
      <t>Kalendertid. Använd formatet åååå-mm-dd. För en licentiatexamen är utbildningstiden två års heltidsstudier, och för en doktorsexamen är den fyra års heltidsstudier. Kalendertiden blir längre än utbildningstiden om doktoranden förväntas utföra institutionstjänstgöring och/eller arbetar deltid. Datumen styr bl.a. hur många kolumner i Finansieringstabellen som gulmarkeras.</t>
    </r>
  </si>
  <si>
    <r>
      <t xml:space="preserve">2.5. </t>
    </r>
    <r>
      <rPr>
        <b/>
        <sz val="11"/>
        <color rgb="FF000000"/>
        <rFont val="Georgia"/>
        <family val="1"/>
      </rPr>
      <t xml:space="preserve">Månadslön - </t>
    </r>
    <r>
      <rPr>
        <sz val="11"/>
        <color rgb="FF000000"/>
        <rFont val="Georgia"/>
        <family val="1"/>
      </rPr>
      <t>För år 1 besök intranätssidan med doktorandstegen:</t>
    </r>
  </si>
  <si>
    <r>
      <t xml:space="preserve">2.6. </t>
    </r>
    <r>
      <rPr>
        <b/>
        <sz val="11"/>
        <color rgb="FF000000"/>
        <rFont val="Georgia"/>
        <family val="1"/>
      </rPr>
      <t xml:space="preserve">Omfattning </t>
    </r>
    <r>
      <rPr>
        <sz val="11"/>
        <color rgb="FF000000"/>
        <rFont val="Georgia"/>
        <family val="1"/>
      </rPr>
      <t>- Procentandel av heltid som doktoranden kommer att vara anställd vid KTH.</t>
    </r>
  </si>
  <si>
    <r>
      <t xml:space="preserve">2.7. Tabellen med </t>
    </r>
    <r>
      <rPr>
        <b/>
        <sz val="11"/>
        <color rgb="FF000000"/>
        <rFont val="Georgia"/>
        <family val="1"/>
      </rPr>
      <t>Finansiering</t>
    </r>
  </si>
  <si>
    <r>
      <t xml:space="preserve">Projektnr - </t>
    </r>
    <r>
      <rPr>
        <sz val="11"/>
        <color rgb="FF000000"/>
        <rFont val="Georgia"/>
        <family val="1"/>
      </rPr>
      <t>projektets nummer som återfinns i Agresso-systemet. Stäm av med ekonom.</t>
    </r>
  </si>
  <si>
    <r>
      <t xml:space="preserve">Finansiär - </t>
    </r>
    <r>
      <rPr>
        <sz val="11"/>
        <color rgb="FF000000"/>
        <rFont val="Georgia"/>
        <family val="1"/>
      </rPr>
      <t>namnet på finansiär och/eller projektnamnet kopplat till projektnumret.</t>
    </r>
  </si>
  <si>
    <r>
      <t xml:space="preserve">Finansiären </t>
    </r>
    <r>
      <rPr>
        <b/>
        <sz val="11"/>
        <color rgb="FF000000"/>
        <rFont val="Georgia"/>
        <family val="1"/>
      </rPr>
      <t xml:space="preserve">GRU </t>
    </r>
    <r>
      <rPr>
        <sz val="11"/>
        <color rgb="FF000000"/>
        <rFont val="Georgia"/>
        <family val="1"/>
      </rPr>
      <t>- denna rad tas i anspråk då doktoranden förväntas hjälpa till med grundutbildningen som del av institutionstjänstgöringen.</t>
    </r>
  </si>
  <si>
    <r>
      <t xml:space="preserve">Finansiären </t>
    </r>
    <r>
      <rPr>
        <b/>
        <sz val="11"/>
        <color rgb="FF000000"/>
        <rFont val="Georgia"/>
        <family val="1"/>
      </rPr>
      <t>FOFU</t>
    </r>
    <r>
      <rPr>
        <sz val="11"/>
        <color rgb="FF000000"/>
        <rFont val="Georgia"/>
        <family val="1"/>
      </rPr>
      <t xml:space="preserve"> - om övrig finansiering under ett år understiger 100 % full finansiering av anställd tid så fylls denna cell på med den andel som saknas.</t>
    </r>
  </si>
  <si>
    <r>
      <t xml:space="preserve">Varje rad avslutas med en bockruta för att markera att raden finansierar </t>
    </r>
    <r>
      <rPr>
        <b/>
        <sz val="11"/>
        <color rgb="FF000000"/>
        <rFont val="Georgia"/>
        <family val="1"/>
      </rPr>
      <t>institutionstjänstgöring</t>
    </r>
    <r>
      <rPr>
        <sz val="11"/>
        <color rgb="FF000000"/>
        <rFont val="Georgia"/>
        <family val="1"/>
      </rPr>
      <t xml:space="preserve"> eller inte.   </t>
    </r>
  </si>
  <si>
    <r>
      <t xml:space="preserve">I varje </t>
    </r>
    <r>
      <rPr>
        <b/>
        <sz val="11"/>
        <color rgb="FF000000"/>
        <rFont val="Georgia"/>
        <family val="1"/>
      </rPr>
      <t>årskolumn</t>
    </r>
    <r>
      <rPr>
        <sz val="11"/>
        <color rgb="FF000000"/>
        <rFont val="Georgia"/>
        <family val="1"/>
      </rPr>
      <t xml:space="preserve"> fyller man i andelar i procent av årets totala finansieringskostnad, </t>
    </r>
    <r>
      <rPr>
        <b/>
        <sz val="11"/>
        <color rgb="FF000000"/>
        <rFont val="Georgia"/>
        <family val="1"/>
      </rPr>
      <t xml:space="preserve">INTE </t>
    </r>
    <r>
      <rPr>
        <sz val="11"/>
        <color rgb="FF000000"/>
        <rFont val="Georgia"/>
        <family val="1"/>
      </rPr>
      <t>andelar av ett kalenderhalvår såsom i Ladok- och eISP-systemet. Årets totala finansieringskostnad kan i tid omfatta allt från några dagar upp till ett helt år. Summan av varje årskolumn blir alltid 100 %.</t>
    </r>
  </si>
  <si>
    <r>
      <t xml:space="preserve">Till </t>
    </r>
    <r>
      <rPr>
        <b/>
        <sz val="11"/>
        <color rgb="FF000000"/>
        <rFont val="Georgia"/>
        <family val="1"/>
      </rPr>
      <t>exempel</t>
    </r>
    <r>
      <rPr>
        <sz val="11"/>
        <color rgb="FF000000"/>
        <rFont val="Georgia"/>
        <family val="1"/>
      </rPr>
      <t>, för en doktorand som påbörjar sina studier 1 november (årets finansieringskostnad täcker då tidsmässigt två månader) och sin anställning som deltidsanställd med en omfattning på 50 % av heltid varav 80 % forskarutbildning och 20 % institutionstjänstgöring. Som omfattning anges 50, på egen rad i finansieringstabellen anges 80, på en annan rad, kanske på GRU-raden, anges 20, och denna rad avslutas med en bock i rutan för att signalera att det rör sig om institutionstjänstgöring.</t>
    </r>
  </si>
  <si>
    <r>
      <t xml:space="preserve">2.8. Tabellen med </t>
    </r>
    <r>
      <rPr>
        <b/>
        <sz val="11"/>
        <color rgb="FF000000"/>
        <rFont val="Georgia"/>
        <family val="1"/>
      </rPr>
      <t>Personalkostnad inkl. LKP, OH och lokaler.</t>
    </r>
  </si>
  <si>
    <t>I denna tabell, som är skrivskyddad, räknar kalkylbladet ut alla lönekostnader. Varje rad i denna tabell har sin motsvarighet i finansieringstabellen med samma ordning.</t>
  </si>
  <si>
    <r>
      <t xml:space="preserve">2.9. </t>
    </r>
    <r>
      <rPr>
        <b/>
        <sz val="11"/>
        <color theme="1"/>
        <rFont val="Georgia"/>
        <family val="1"/>
      </rPr>
      <t xml:space="preserve">Underskrifter </t>
    </r>
    <r>
      <rPr>
        <sz val="11"/>
        <color theme="1"/>
        <rFont val="Georgia"/>
        <family val="1"/>
      </rPr>
      <t xml:space="preserve">- skrivs under i tur och ordning av ekonom, avdelningschef och prefekt. Ekonomens roll är att styrka att medel finns på angivna projekt varje år under hela den tidsperiod som angetts. </t>
    </r>
  </si>
  <si>
    <r>
      <t>Guide to the use of the spreadsheet with the doctoral student employment financial plan</t>
    </r>
    <r>
      <rPr>
        <b/>
        <i/>
        <sz val="11"/>
        <color theme="1"/>
        <rFont val="Georgia"/>
        <family val="1"/>
      </rPr>
      <t xml:space="preserve"> </t>
    </r>
    <r>
      <rPr>
        <i/>
        <sz val="11"/>
        <color theme="1"/>
        <rFont val="Georgia"/>
        <family val="1"/>
      </rPr>
      <t>(English version)</t>
    </r>
  </si>
  <si>
    <t>The financial plan is part of the administrative procedure for opening an admission place for studies. The application for an opening also contains the resource form and the advertisement material.</t>
  </si>
  <si>
    <r>
      <t xml:space="preserve">1. </t>
    </r>
    <r>
      <rPr>
        <b/>
        <sz val="11"/>
        <color rgb="FF000000"/>
        <rFont val="Georgia"/>
        <family val="1"/>
      </rPr>
      <t>Spreadsheet</t>
    </r>
  </si>
  <si>
    <r>
      <t xml:space="preserve">1.a) </t>
    </r>
    <r>
      <rPr>
        <b/>
        <i/>
        <sz val="11"/>
        <color rgb="FF000000"/>
        <rFont val="Georgia"/>
        <family val="1"/>
      </rPr>
      <t>Kalkyl</t>
    </r>
    <r>
      <rPr>
        <sz val="11"/>
        <color rgb="FF000000"/>
        <rFont val="Georgia"/>
        <family val="1"/>
      </rPr>
      <t xml:space="preserve"> – The user enters data in the yellow fields. Most gray fields are write-protected and shall not be edited.</t>
    </r>
  </si>
  <si>
    <r>
      <t xml:space="preserve">1.b) </t>
    </r>
    <r>
      <rPr>
        <b/>
        <i/>
        <sz val="11"/>
        <color rgb="FF000000"/>
        <rFont val="Georgia"/>
        <family val="1"/>
      </rPr>
      <t>Vägledning</t>
    </r>
    <r>
      <rPr>
        <i/>
        <sz val="11"/>
        <color rgb="FF000000"/>
        <rFont val="Georgia"/>
        <family val="1"/>
      </rPr>
      <t xml:space="preserve"> </t>
    </r>
    <r>
      <rPr>
        <sz val="11"/>
        <color rgb="FF000000"/>
        <rFont val="Georgia"/>
        <family val="1"/>
      </rPr>
      <t xml:space="preserve">and </t>
    </r>
    <r>
      <rPr>
        <b/>
        <i/>
        <sz val="11"/>
        <color rgb="FF000000"/>
        <rFont val="Georgia"/>
        <family val="1"/>
      </rPr>
      <t>Guide</t>
    </r>
    <r>
      <rPr>
        <i/>
        <sz val="11"/>
        <color rgb="FF000000"/>
        <rFont val="Georgia"/>
        <family val="1"/>
      </rPr>
      <t xml:space="preserve"> </t>
    </r>
    <r>
      <rPr>
        <sz val="11"/>
        <color rgb="FF000000"/>
        <rFont val="Georgia"/>
        <family val="1"/>
      </rPr>
      <t>– Content of this document in Swedish and English, respectively.</t>
    </r>
  </si>
  <si>
    <r>
      <t xml:space="preserve">2. </t>
    </r>
    <r>
      <rPr>
        <b/>
        <sz val="11"/>
        <color rgb="FF000000"/>
        <rFont val="Georgia"/>
        <family val="1"/>
      </rPr>
      <t xml:space="preserve">The Kalkyl spreadsheet with </t>
    </r>
    <r>
      <rPr>
        <b/>
        <i/>
        <sz val="11"/>
        <color rgb="FF000000"/>
        <rFont val="Georgia"/>
        <family val="1"/>
      </rPr>
      <t>”Finansieringsplan - doktorandanställning”</t>
    </r>
    <r>
      <rPr>
        <b/>
        <sz val="11"/>
        <color rgb="FF000000"/>
        <rFont val="Georgia"/>
        <family val="1"/>
      </rPr>
      <t xml:space="preserve"> </t>
    </r>
    <r>
      <rPr>
        <sz val="11"/>
        <color rgb="FF000000"/>
        <rFont val="Georgia"/>
        <family val="1"/>
      </rPr>
      <t>(in English – Financial plan – doctoral student employment)</t>
    </r>
  </si>
  <si>
    <r>
      <t xml:space="preserve">2.1. </t>
    </r>
    <r>
      <rPr>
        <b/>
        <i/>
        <sz val="11"/>
        <color rgb="FF000000"/>
        <rFont val="Georgia"/>
        <family val="1"/>
      </rPr>
      <t xml:space="preserve">Nyckeltal </t>
    </r>
    <r>
      <rPr>
        <b/>
        <sz val="11"/>
        <color rgb="FF000000"/>
        <rFont val="Georgia"/>
        <family val="1"/>
      </rPr>
      <t xml:space="preserve">– </t>
    </r>
    <r>
      <rPr>
        <sz val="11"/>
        <color rgb="FF000000"/>
        <rFont val="Georgia"/>
        <family val="1"/>
      </rPr>
      <t>These hidden numbers in the spreadsheet are the basis of the calculations that the spreadsheet carries out. To the right of the title the year is given for when these numbers are valid. In the beginning of the year it is all right to use the past year’s numbers.</t>
    </r>
  </si>
  <si>
    <r>
      <t>2.2.</t>
    </r>
    <r>
      <rPr>
        <b/>
        <sz val="11"/>
        <color rgb="FF000000"/>
        <rFont val="Georgia"/>
        <family val="1"/>
      </rPr>
      <t xml:space="preserve"> The table with initial information – Very important to fill in, affects other cells in the spreadsheet, e.g., don’t forget to choose department.</t>
    </r>
  </si>
  <si>
    <r>
      <t>Omitted information will result in cells that need that information getting ”</t>
    </r>
    <r>
      <rPr>
        <b/>
        <sz val="11"/>
        <color rgb="FF000000"/>
        <rFont val="Georgia"/>
        <family val="1"/>
      </rPr>
      <t xml:space="preserve">value” </t>
    </r>
    <r>
      <rPr>
        <sz val="11"/>
        <color rgb="FF000000"/>
        <rFont val="Georgia"/>
        <family val="1"/>
      </rPr>
      <t>as content</t>
    </r>
    <r>
      <rPr>
        <b/>
        <sz val="11"/>
        <color rgb="FF000000"/>
        <rFont val="Georgia"/>
        <family val="1"/>
      </rPr>
      <t>, (</t>
    </r>
    <r>
      <rPr>
        <sz val="11"/>
        <color rgb="FF000000"/>
        <rFont val="Georgia"/>
        <family val="1"/>
      </rPr>
      <t>in Swedish ”</t>
    </r>
    <r>
      <rPr>
        <i/>
        <sz val="11"/>
        <color rgb="FF000000"/>
        <rFont val="Georgia"/>
        <family val="1"/>
      </rPr>
      <t>värdefel</t>
    </r>
    <r>
      <rPr>
        <sz val="11"/>
        <color rgb="FF000000"/>
        <rFont val="Georgia"/>
        <family val="1"/>
      </rPr>
      <t>”). This error will also occur if the entered data is in the wrong format.  If the starting date cell is left empty, the years in the two tables’ columns will translate as years starting with 1900.</t>
    </r>
  </si>
  <si>
    <r>
      <t xml:space="preserve">2.3. </t>
    </r>
    <r>
      <rPr>
        <b/>
        <sz val="11"/>
        <color rgb="FF000000"/>
        <rFont val="Georgia"/>
        <family val="1"/>
      </rPr>
      <t xml:space="preserve">Drop-down menus: </t>
    </r>
    <r>
      <rPr>
        <b/>
        <i/>
        <sz val="11"/>
        <color rgb="FF000000"/>
        <rFont val="Georgia"/>
        <family val="1"/>
      </rPr>
      <t>Examensmål</t>
    </r>
    <r>
      <rPr>
        <b/>
        <sz val="11"/>
        <color rgb="FF000000"/>
        <rFont val="Georgia"/>
        <family val="1"/>
      </rPr>
      <t xml:space="preserve"> and </t>
    </r>
    <r>
      <rPr>
        <b/>
        <i/>
        <sz val="11"/>
        <color rgb="FF000000"/>
        <rFont val="Georgia"/>
        <family val="1"/>
      </rPr>
      <t>Institution</t>
    </r>
    <r>
      <rPr>
        <b/>
        <sz val="11"/>
        <color rgb="FF000000"/>
        <rFont val="Georgia"/>
        <family val="1"/>
      </rPr>
      <t xml:space="preserve"> – </t>
    </r>
    <r>
      <rPr>
        <sz val="11"/>
        <color rgb="FF000000"/>
        <rFont val="Georgia"/>
        <family val="1"/>
      </rPr>
      <t xml:space="preserve">Target degree and department. When one clicks on the yellow fields next to </t>
    </r>
    <r>
      <rPr>
        <i/>
        <sz val="11"/>
        <color rgb="FF000000"/>
        <rFont val="Georgia"/>
        <family val="1"/>
      </rPr>
      <t>Examensmål</t>
    </r>
    <r>
      <rPr>
        <sz val="11"/>
        <color rgb="FF000000"/>
        <rFont val="Georgia"/>
        <family val="1"/>
      </rPr>
      <t xml:space="preserve"> and </t>
    </r>
    <r>
      <rPr>
        <i/>
        <sz val="11"/>
        <color rgb="FF000000"/>
        <rFont val="Georgia"/>
        <family val="1"/>
      </rPr>
      <t>Institution</t>
    </r>
    <r>
      <rPr>
        <sz val="11"/>
        <color rgb="FF000000"/>
        <rFont val="Georgia"/>
        <family val="1"/>
      </rPr>
      <t xml:space="preserve">  buttons with drop-down menus will appear to the right of the yellow fields.</t>
    </r>
  </si>
  <si>
    <r>
      <t xml:space="preserve">2.4. </t>
    </r>
    <r>
      <rPr>
        <b/>
        <i/>
        <sz val="11"/>
        <color rgb="FF000000"/>
        <rFont val="Georgia"/>
        <family val="1"/>
      </rPr>
      <t>Startdatum</t>
    </r>
    <r>
      <rPr>
        <b/>
        <sz val="11"/>
        <color rgb="FF000000"/>
        <rFont val="Georgia"/>
        <family val="1"/>
      </rPr>
      <t xml:space="preserve"> (start date) and </t>
    </r>
    <r>
      <rPr>
        <b/>
        <i/>
        <sz val="11"/>
        <color rgb="FF000000"/>
        <rFont val="Georgia"/>
        <family val="1"/>
      </rPr>
      <t>Slutdatum</t>
    </r>
    <r>
      <rPr>
        <b/>
        <sz val="11"/>
        <color rgb="FF000000"/>
        <rFont val="Georgia"/>
        <family val="1"/>
      </rPr>
      <t xml:space="preserve"> (end date) – </t>
    </r>
    <r>
      <rPr>
        <sz val="11"/>
        <color rgb="FF000000"/>
        <rFont val="Georgia"/>
        <family val="1"/>
      </rPr>
      <t xml:space="preserve">Start and end dates, calendar time. Use the format yyyy-mm-dd. For a licentiate degree the study period is two years for full-time studies, and for a doctoral degree it is four years full-time. Actual calendar time will be longer than the study period if the doctoral student is expected to take on department tasks and / or work part-time. The dates control, among other items, the number of columns in the </t>
    </r>
    <r>
      <rPr>
        <i/>
        <sz val="11"/>
        <color rgb="FF000000"/>
        <rFont val="Georgia"/>
        <family val="1"/>
      </rPr>
      <t>Finansieringstabell</t>
    </r>
    <r>
      <rPr>
        <sz val="11"/>
        <color rgb="FF000000"/>
        <rFont val="Georgia"/>
        <family val="1"/>
      </rPr>
      <t xml:space="preserve"> that are marked yellow and hence available for editing.</t>
    </r>
  </si>
  <si>
    <r>
      <t xml:space="preserve">2.5. </t>
    </r>
    <r>
      <rPr>
        <b/>
        <i/>
        <sz val="11"/>
        <color rgb="FF000000"/>
        <rFont val="Georgia"/>
        <family val="1"/>
      </rPr>
      <t>Månadslön</t>
    </r>
    <r>
      <rPr>
        <b/>
        <sz val="11"/>
        <color rgb="FF000000"/>
        <rFont val="Georgia"/>
        <family val="1"/>
      </rPr>
      <t xml:space="preserve"> (Monthly salary) – </t>
    </r>
    <r>
      <rPr>
        <sz val="11"/>
        <color rgb="FF000000"/>
        <rFont val="Georgia"/>
        <family val="1"/>
      </rPr>
      <t>For the first year visit the web page on the intranet  to find the salary steps for doctoral students (</t>
    </r>
    <r>
      <rPr>
        <i/>
        <sz val="11"/>
        <color rgb="FF000000"/>
        <rFont val="Georgia"/>
        <family val="1"/>
      </rPr>
      <t>doktorandstegen</t>
    </r>
    <r>
      <rPr>
        <sz val="11"/>
        <color rgb="FF000000"/>
        <rFont val="Georgia"/>
        <family val="1"/>
      </rPr>
      <t>):</t>
    </r>
  </si>
  <si>
    <t>https://intra.kth.se/en/anstallning/anstallningsvillkor/lon/doktorandstegen-1.572915</t>
  </si>
  <si>
    <r>
      <t xml:space="preserve">2.6. </t>
    </r>
    <r>
      <rPr>
        <b/>
        <sz val="11"/>
        <color rgb="FF000000"/>
        <rFont val="Georgia"/>
        <family val="1"/>
      </rPr>
      <t xml:space="preserve">Omfattning (share of full-time) </t>
    </r>
    <r>
      <rPr>
        <sz val="11"/>
        <color rgb="FF000000"/>
        <rFont val="Georgia"/>
        <family val="1"/>
      </rPr>
      <t>– Percentage (of a full-time position) that the doctoral student will be employed by KTH.</t>
    </r>
  </si>
  <si>
    <r>
      <t xml:space="preserve">2.7. Table with </t>
    </r>
    <r>
      <rPr>
        <b/>
        <i/>
        <sz val="11"/>
        <color rgb="FF000000"/>
        <rFont val="Georgia"/>
        <family val="1"/>
      </rPr>
      <t xml:space="preserve">Finansiering </t>
    </r>
    <r>
      <rPr>
        <b/>
        <sz val="11"/>
        <color rgb="FF000000"/>
        <rFont val="Georgia"/>
        <family val="1"/>
      </rPr>
      <t>(funding)</t>
    </r>
  </si>
  <si>
    <r>
      <t>Projektnr</t>
    </r>
    <r>
      <rPr>
        <b/>
        <sz val="11"/>
        <color rgb="FF000000"/>
        <rFont val="Georgia"/>
        <family val="1"/>
      </rPr>
      <t xml:space="preserve"> – </t>
    </r>
    <r>
      <rPr>
        <sz val="11"/>
        <color rgb="FF000000"/>
        <rFont val="Georgia"/>
        <family val="1"/>
      </rPr>
      <t xml:space="preserve">the project number as registered in the Agresso system. Check with Financial officer. </t>
    </r>
  </si>
  <si>
    <r>
      <t>Finansiär</t>
    </r>
    <r>
      <rPr>
        <b/>
        <sz val="11"/>
        <color rgb="FF000000"/>
        <rFont val="Georgia"/>
        <family val="1"/>
      </rPr>
      <t xml:space="preserve"> – </t>
    </r>
    <r>
      <rPr>
        <sz val="11"/>
        <color rgb="FF000000"/>
        <rFont val="Georgia"/>
        <family val="1"/>
      </rPr>
      <t>name of the funder and / or project name associated with the project number.</t>
    </r>
  </si>
  <si>
    <r>
      <t xml:space="preserve">GRU </t>
    </r>
    <r>
      <rPr>
        <sz val="11"/>
        <color rgb="FF000000"/>
        <rFont val="Georgia"/>
        <family val="1"/>
      </rPr>
      <t>funder – this row is used when the doctoral student is expected to assist in teaching at bachelor or master levels as part of their departmental tasks.</t>
    </r>
  </si>
  <si>
    <r>
      <t>FOFU</t>
    </r>
    <r>
      <rPr>
        <sz val="11"/>
        <color rgb="FF000000"/>
        <rFont val="Georgia"/>
        <family val="1"/>
      </rPr>
      <t xml:space="preserve"> funder – if other funding than fofu during a specific year is lower than 100 % then this fofu field automatically receives the share that is missing.</t>
    </r>
  </si>
  <si>
    <r>
      <t xml:space="preserve">Each row ends with a check box to mark whether or not that row funds </t>
    </r>
    <r>
      <rPr>
        <b/>
        <i/>
        <sz val="11"/>
        <color rgb="FF000000"/>
        <rFont val="Georgia"/>
        <family val="1"/>
      </rPr>
      <t>institutions-tjänstgöring</t>
    </r>
    <r>
      <rPr>
        <sz val="11"/>
        <color rgb="FF000000"/>
        <rFont val="Georgia"/>
        <family val="1"/>
      </rPr>
      <t xml:space="preserve"> (departmental tasks) or not.   </t>
    </r>
  </si>
  <si>
    <r>
      <t xml:space="preserve">In each </t>
    </r>
    <r>
      <rPr>
        <b/>
        <i/>
        <sz val="11"/>
        <color rgb="FF000000"/>
        <rFont val="Georgia"/>
        <family val="1"/>
      </rPr>
      <t>årskolumn</t>
    </r>
    <r>
      <rPr>
        <sz val="11"/>
        <color rgb="FF000000"/>
        <rFont val="Georgia"/>
        <family val="1"/>
      </rPr>
      <t xml:space="preserve"> (year column) one fills in the shares in percent of that year’s total funding costs, </t>
    </r>
    <r>
      <rPr>
        <b/>
        <sz val="11"/>
        <color rgb="FF000000"/>
        <rFont val="Georgia"/>
        <family val="1"/>
      </rPr>
      <t xml:space="preserve">NOT </t>
    </r>
    <r>
      <rPr>
        <sz val="11"/>
        <color rgb="FF000000"/>
        <rFont val="Georgia"/>
        <family val="1"/>
      </rPr>
      <t>shares of a calendar half year as in the Ladok and eISP systems. The year’s total funding costs may comprise a few days up to the whole year. The sum of all shares for a specific year always becomes 100 %.</t>
    </r>
  </si>
  <si>
    <r>
      <t xml:space="preserve">For </t>
    </r>
    <r>
      <rPr>
        <b/>
        <sz val="11"/>
        <color rgb="FF000000"/>
        <rFont val="Georgia"/>
        <family val="1"/>
      </rPr>
      <t>example</t>
    </r>
    <r>
      <rPr>
        <sz val="11"/>
        <color rgb="FF000000"/>
        <rFont val="Georgia"/>
        <family val="1"/>
      </rPr>
      <t xml:space="preserve">, a doctoral student begins his or her studies on the 1st of November (the year’s funding then covers two months) employed part-time at 50 % of full-time out of which 80 % is doctoral studies and 20 % is departmental tasks. As </t>
    </r>
    <r>
      <rPr>
        <i/>
        <sz val="11"/>
        <color rgb="FF000000"/>
        <rFont val="Georgia"/>
        <family val="1"/>
      </rPr>
      <t>omfattning 50</t>
    </r>
    <r>
      <rPr>
        <sz val="11"/>
        <color rgb="FF000000"/>
        <rFont val="Georgia"/>
        <family val="1"/>
      </rPr>
      <t xml:space="preserve"> is specified, on its own row in the </t>
    </r>
    <r>
      <rPr>
        <i/>
        <sz val="11"/>
        <color rgb="FF000000"/>
        <rFont val="Georgia"/>
        <family val="1"/>
      </rPr>
      <t xml:space="preserve">finansieringstabell </t>
    </r>
    <r>
      <rPr>
        <sz val="11"/>
        <color rgb="FF000000"/>
        <rFont val="Georgia"/>
        <family val="1"/>
      </rPr>
      <t>80, on another row, perhaps the  GRU-row, 20, and that row is ended with a check in the check box to signal that this row deals with departmental tasks.</t>
    </r>
  </si>
  <si>
    <r>
      <t xml:space="preserve">2.8. Table with </t>
    </r>
    <r>
      <rPr>
        <b/>
        <i/>
        <sz val="11"/>
        <color rgb="FF000000"/>
        <rFont val="Georgia"/>
        <family val="1"/>
      </rPr>
      <t>Personalkostnad inkl. LKP, OH och lokaler</t>
    </r>
    <r>
      <rPr>
        <b/>
        <sz val="11"/>
        <color rgb="FF000000"/>
        <rFont val="Georgia"/>
        <family val="1"/>
      </rPr>
      <t xml:space="preserve"> </t>
    </r>
    <r>
      <rPr>
        <sz val="11"/>
        <color rgb="FF000000"/>
        <rFont val="Georgia"/>
        <family val="1"/>
      </rPr>
      <t>(costs for staff including LKP, overhead and premises)</t>
    </r>
  </si>
  <si>
    <r>
      <t>In this table, which is write-protected, the spreadsheet calculates all salary costs. Each row in this table has its equivalent in the</t>
    </r>
    <r>
      <rPr>
        <i/>
        <sz val="11"/>
        <color rgb="FF000000"/>
        <rFont val="Georgia"/>
        <family val="1"/>
      </rPr>
      <t xml:space="preserve"> finansieringstabell</t>
    </r>
    <r>
      <rPr>
        <sz val="11"/>
        <color rgb="FF000000"/>
        <rFont val="Georgia"/>
        <family val="1"/>
      </rPr>
      <t xml:space="preserve"> and in the same order.</t>
    </r>
  </si>
  <si>
    <r>
      <t xml:space="preserve">2.9. </t>
    </r>
    <r>
      <rPr>
        <b/>
        <i/>
        <sz val="11"/>
        <color theme="1"/>
        <rFont val="Georgia"/>
        <family val="1"/>
      </rPr>
      <t xml:space="preserve">Underskrifter </t>
    </r>
    <r>
      <rPr>
        <b/>
        <sz val="11"/>
        <color theme="1"/>
        <rFont val="Georgia"/>
        <family val="1"/>
      </rPr>
      <t xml:space="preserve">(signatures) </t>
    </r>
    <r>
      <rPr>
        <sz val="11"/>
        <color theme="1"/>
        <rFont val="Georgia"/>
        <family val="1"/>
      </rPr>
      <t xml:space="preserve">– the document is signed in the following order: Financial officer, Head of division and Head of department. The role of the Financial officer is to certify to that money is available in the specified projects for each year during the whole time period. </t>
    </r>
  </si>
  <si>
    <t>Grundlön (steg 1)</t>
  </si>
  <si>
    <t>30% (steg 2)</t>
  </si>
  <si>
    <t>50% (steg 3)</t>
  </si>
  <si>
    <t>80% (steg 4)</t>
  </si>
  <si>
    <t>Årlig löneökning doktorander</t>
  </si>
  <si>
    <t>Antal år</t>
  </si>
  <si>
    <t>Slutår årsandel</t>
  </si>
  <si>
    <t>Startår årsandel</t>
  </si>
  <si>
    <t>Licentiat</t>
  </si>
  <si>
    <t>Doktor</t>
  </si>
  <si>
    <t>Byte från licentiat till doktor</t>
  </si>
  <si>
    <t>Skulle antalet årskolumner inte räcka till fortsätter ni i ytterligare en finansieringsplan!</t>
  </si>
  <si>
    <t>Byte av ämne eller inriktning</t>
  </si>
  <si>
    <t>Välj antagning</t>
  </si>
  <si>
    <t>Antagning</t>
  </si>
  <si>
    <r>
      <t>FOFU</t>
    </r>
    <r>
      <rPr>
        <sz val="8"/>
        <color theme="1"/>
        <rFont val="Calibri"/>
        <family val="2"/>
        <scheme val="minor"/>
      </rPr>
      <t>*(se fotnot)</t>
    </r>
  </si>
  <si>
    <t>[Skriv FOFU-projektnr här]</t>
  </si>
  <si>
    <t>*Värdena i årskolumernas FOFU-celler beräknas per automatik till 100% minus de gula cellerna</t>
  </si>
  <si>
    <t>Lokal</t>
  </si>
  <si>
    <t>FOFU+lkp</t>
  </si>
  <si>
    <t>GRU+lkp</t>
  </si>
  <si>
    <t>Doktorandstegen från 2022-10-01</t>
  </si>
  <si>
    <t>(Nyckeltal för 2024)</t>
  </si>
  <si>
    <t>TB 2024</t>
  </si>
  <si>
    <t>Doktorandstegen från 2023-10-01</t>
  </si>
  <si>
    <t>Version 3.4 (2024-03-26)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</si>
</sst>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yyyy\-mm\-dd"/>
    <numFmt numFmtId="167" formatCode="hh\.mm\.ss"/>
    <numFmt numFmtId="168" formatCode="#,##0.0"/>
  </numFmts>
  <fonts count="32"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8"/>
      <color theme="1"/>
      <name val="Tahoma"/>
      <family val="2"/>
    </font>
    <font>
      <b/>
      <sz val="8"/>
      <color theme="1"/>
      <name val="Tahoma"/>
      <family val="2"/>
    </font>
    <font>
      <sz val="12"/>
      <color theme="1"/>
      <name val="Calibri"/>
      <family val="2"/>
      <scheme val="minor"/>
    </font>
    <font>
      <b/>
      <sz val="18"/>
      <color theme="1"/>
      <name val="Calibri"/>
      <family val="2"/>
      <scheme val="minor"/>
    </font>
    <font>
      <b/>
      <sz val="11"/>
      <color theme="1"/>
      <name val="Calibri"/>
      <family val="2"/>
      <scheme val="minor"/>
    </font>
    <font>
      <sz val="8"/>
      <color rgb="FF000000"/>
      <name val="Segoe UI"/>
      <family val="2"/>
    </font>
    <font>
      <u/>
      <sz val="8"/>
      <color theme="1"/>
      <name val="Tahoma"/>
      <family val="2"/>
    </font>
    <font>
      <sz val="10"/>
      <color theme="1"/>
      <name val="Tahoma"/>
      <family val="2"/>
    </font>
    <font>
      <i/>
      <sz val="11"/>
      <color theme="1"/>
      <name val="Calibri"/>
      <family val="2"/>
      <scheme val="minor"/>
    </font>
    <font>
      <i/>
      <sz val="11"/>
      <color rgb="FF222222"/>
      <name val="Calibri"/>
      <family val="2"/>
      <scheme val="minor"/>
    </font>
    <font>
      <sz val="10"/>
      <color theme="1"/>
      <name val="Georgia"/>
      <family val="1"/>
    </font>
    <font>
      <b/>
      <sz val="14"/>
      <color theme="1"/>
      <name val="Arial"/>
      <family val="2"/>
    </font>
    <font>
      <u/>
      <sz val="11"/>
      <color theme="10"/>
      <name val="Calibri"/>
      <family val="2"/>
      <scheme val="minor"/>
    </font>
    <font>
      <sz val="10"/>
      <color rgb="FF000000"/>
      <name val="Georgia"/>
      <family val="1"/>
    </font>
    <font>
      <b/>
      <sz val="12"/>
      <color theme="1"/>
      <name val="Arial"/>
      <family val="2"/>
    </font>
    <font>
      <b/>
      <i/>
      <sz val="11"/>
      <color theme="1"/>
      <name val="Georgia"/>
      <family val="1"/>
    </font>
    <font>
      <i/>
      <sz val="11"/>
      <color theme="1"/>
      <name val="Georgia"/>
      <family val="1"/>
    </font>
    <font>
      <sz val="11"/>
      <color theme="1"/>
      <name val="Georgia"/>
      <family val="1"/>
    </font>
    <font>
      <sz val="11"/>
      <color rgb="FF000000"/>
      <name val="Georgia"/>
      <family val="1"/>
    </font>
    <font>
      <b/>
      <sz val="11"/>
      <color rgb="FF000000"/>
      <name val="Georgia"/>
      <family val="1"/>
    </font>
    <font>
      <b/>
      <sz val="11"/>
      <color theme="1"/>
      <name val="Georgia"/>
      <family val="1"/>
    </font>
    <font>
      <b/>
      <i/>
      <sz val="11"/>
      <color rgb="FF000000"/>
      <name val="Georgia"/>
      <family val="1"/>
    </font>
    <font>
      <i/>
      <sz val="11"/>
      <color rgb="FF000000"/>
      <name val="Georgia"/>
      <family val="1"/>
    </font>
    <font>
      <b/>
      <sz val="11"/>
      <color rgb="FF262626"/>
      <name val="Georgia"/>
      <family val="1"/>
    </font>
    <font>
      <sz val="8"/>
      <color theme="1"/>
      <name val="Calibri"/>
      <family val="2"/>
      <scheme val="minor"/>
    </font>
    <font>
      <b/>
      <sz val="8"/>
      <color theme="1"/>
      <name val="Calibri"/>
      <family val="2"/>
      <scheme val="minor"/>
    </font>
    <font>
      <sz val="11"/>
      <color rgb="FF1F497D"/>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BFD2E2"/>
      </patternFill>
    </fill>
    <fill>
      <patternFill patternType="solid">
        <fgColor rgb="FFDFDFDF"/>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rgb="FF93B1CD"/>
      </left>
      <right style="medium">
        <color rgb="FF93B1CD"/>
      </right>
      <top/>
      <bottom style="medium">
        <color rgb="FF93B1CD"/>
      </bottom>
      <diagonal/>
    </border>
    <border>
      <left style="medium">
        <color rgb="FFCCCCCC"/>
      </left>
      <right style="medium">
        <color rgb="FFCCCCCC"/>
      </right>
      <top/>
      <bottom style="medium">
        <color rgb="FFCCCCCC"/>
      </bottom>
      <diagonal/>
    </border>
    <border>
      <left style="medium">
        <color rgb="FFA2C4E0"/>
      </left>
      <right style="medium">
        <color rgb="FFA2C4E0"/>
      </right>
      <top/>
      <bottom style="medium">
        <color rgb="FFA2C4E0"/>
      </bottom>
      <diagonal/>
    </border>
    <border>
      <left style="medium">
        <color rgb="FF93B1CD"/>
      </left>
      <right style="medium">
        <color rgb="FF93B1CD"/>
      </right>
      <top style="thin">
        <color theme="4" tint="0.39997558519241921"/>
      </top>
      <bottom style="medium">
        <color rgb="FF93B1CD"/>
      </bottom>
      <diagonal/>
    </border>
    <border>
      <left/>
      <right style="thin">
        <color indexed="64"/>
      </right>
      <top style="thin">
        <color indexed="64"/>
      </top>
      <bottom style="thin">
        <color indexed="64"/>
      </bottom>
      <diagonal/>
    </border>
    <border>
      <left style="medium">
        <color rgb="FFCFCFCF"/>
      </left>
      <right style="medium">
        <color rgb="FFCFCFCF"/>
      </right>
      <top style="medium">
        <color rgb="FFCFCFCF"/>
      </top>
      <bottom style="medium">
        <color rgb="FFCFCFCF"/>
      </bottom>
      <diagonal/>
    </border>
    <border>
      <left style="medium">
        <color rgb="FF93B1CD"/>
      </left>
      <right style="medium">
        <color rgb="FF93B1CD"/>
      </right>
      <top style="medium">
        <color rgb="FF93B1CD"/>
      </top>
      <bottom style="medium">
        <color rgb="FF93B1CD"/>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113">
    <xf numFmtId="0" fontId="0" fillId="0" borderId="0" xfId="0"/>
    <xf numFmtId="4" fontId="0" fillId="0" borderId="0" xfId="0" applyNumberFormat="1"/>
    <xf numFmtId="0" fontId="5" fillId="3" borderId="12" xfId="0" applyFont="1" applyFill="1" applyBorder="1" applyAlignment="1">
      <alignment horizontal="left" vertical="top"/>
    </xf>
    <xf numFmtId="3" fontId="5" fillId="0" borderId="13" xfId="0" applyNumberFormat="1" applyFont="1" applyBorder="1" applyAlignment="1">
      <alignment horizontal="right" vertical="top"/>
    </xf>
    <xf numFmtId="0" fontId="6" fillId="4" borderId="12" xfId="0" applyFont="1" applyFill="1" applyBorder="1" applyAlignment="1">
      <alignment horizontal="left" vertical="top"/>
    </xf>
    <xf numFmtId="3" fontId="6" fillId="4" borderId="14" xfId="0" applyNumberFormat="1" applyFont="1" applyFill="1" applyBorder="1" applyAlignment="1">
      <alignment horizontal="right" vertical="top"/>
    </xf>
    <xf numFmtId="0" fontId="0" fillId="0" borderId="11" xfId="0" applyBorder="1" applyAlignment="1">
      <alignment horizontal="left" vertical="top" wrapText="1"/>
    </xf>
    <xf numFmtId="0" fontId="0" fillId="0" borderId="8" xfId="0" applyBorder="1" applyAlignment="1">
      <alignment horizontal="center"/>
    </xf>
    <xf numFmtId="0" fontId="0" fillId="0" borderId="1" xfId="0" applyBorder="1" applyAlignment="1">
      <alignment horizontal="center"/>
    </xf>
    <xf numFmtId="3" fontId="0" fillId="0" borderId="8" xfId="0" applyNumberFormat="1" applyBorder="1"/>
    <xf numFmtId="3" fontId="0" fillId="0" borderId="1" xfId="0" applyNumberFormat="1" applyBorder="1" applyAlignment="1">
      <alignment horizontal="right" vertical="top"/>
    </xf>
    <xf numFmtId="2" fontId="0" fillId="0" borderId="5" xfId="0" applyNumberFormat="1" applyBorder="1"/>
    <xf numFmtId="3" fontId="0" fillId="0" borderId="1" xfId="0" applyNumberFormat="1" applyBorder="1"/>
    <xf numFmtId="3" fontId="0" fillId="0" borderId="5" xfId="0" applyNumberFormat="1" applyBorder="1"/>
    <xf numFmtId="3" fontId="0" fillId="0" borderId="6" xfId="0" applyNumberFormat="1" applyBorder="1"/>
    <xf numFmtId="3" fontId="0" fillId="0" borderId="7" xfId="0" applyNumberFormat="1" applyBorder="1"/>
    <xf numFmtId="2" fontId="0" fillId="5" borderId="2" xfId="0" applyNumberFormat="1" applyFill="1" applyBorder="1"/>
    <xf numFmtId="2" fontId="0" fillId="5" borderId="1" xfId="0" applyNumberFormat="1" applyFill="1" applyBorder="1"/>
    <xf numFmtId="10" fontId="1" fillId="5" borderId="1" xfId="1" applyNumberFormat="1" applyFont="1" applyFill="1" applyBorder="1" applyProtection="1"/>
    <xf numFmtId="3" fontId="0" fillId="5" borderId="1" xfId="0" applyNumberFormat="1" applyFill="1" applyBorder="1"/>
    <xf numFmtId="10" fontId="0" fillId="0" borderId="0" xfId="0" applyNumberFormat="1"/>
    <xf numFmtId="4" fontId="5" fillId="0" borderId="13" xfId="0" applyNumberFormat="1" applyFont="1" applyBorder="1" applyAlignment="1">
      <alignment horizontal="right" vertical="top"/>
    </xf>
    <xf numFmtId="0" fontId="5" fillId="3" borderId="15" xfId="0" applyFont="1" applyFill="1" applyBorder="1" applyAlignment="1">
      <alignment horizontal="left" vertical="top"/>
    </xf>
    <xf numFmtId="0" fontId="4" fillId="2" borderId="3" xfId="0" applyFont="1" applyFill="1" applyBorder="1" applyAlignment="1">
      <alignment horizontal="center"/>
    </xf>
    <xf numFmtId="0" fontId="0" fillId="0" borderId="1" xfId="0" applyBorder="1"/>
    <xf numFmtId="0" fontId="11" fillId="0" borderId="0" xfId="0" applyFont="1" applyAlignment="1">
      <alignment horizontal="left" vertical="center" indent="2"/>
    </xf>
    <xf numFmtId="0" fontId="6" fillId="0" borderId="17" xfId="0" applyFont="1" applyBorder="1" applyAlignment="1">
      <alignment horizontal="center" vertical="top"/>
    </xf>
    <xf numFmtId="0" fontId="5" fillId="3" borderId="18" xfId="0" applyFont="1" applyFill="1" applyBorder="1" applyAlignment="1">
      <alignment horizontal="left" vertical="top"/>
    </xf>
    <xf numFmtId="0" fontId="6" fillId="4" borderId="18" xfId="0" applyFont="1" applyFill="1" applyBorder="1" applyAlignment="1">
      <alignment horizontal="left" vertical="top"/>
    </xf>
    <xf numFmtId="0" fontId="0" fillId="0" borderId="13" xfId="0" applyBorder="1"/>
    <xf numFmtId="2" fontId="0" fillId="0" borderId="0" xfId="0" applyNumberFormat="1"/>
    <xf numFmtId="1" fontId="3" fillId="6" borderId="1" xfId="0" applyNumberFormat="1" applyFont="1" applyFill="1" applyBorder="1" applyProtection="1">
      <protection locked="0"/>
    </xf>
    <xf numFmtId="14" fontId="7" fillId="6" borderId="1" xfId="0" applyNumberFormat="1" applyFont="1" applyFill="1" applyBorder="1" applyAlignment="1" applyProtection="1">
      <alignment horizontal="left"/>
      <protection locked="0"/>
    </xf>
    <xf numFmtId="3" fontId="7" fillId="6" borderId="1" xfId="0" applyNumberFormat="1" applyFont="1" applyFill="1" applyBorder="1" applyAlignment="1" applyProtection="1">
      <alignment horizontal="left"/>
      <protection locked="0"/>
    </xf>
    <xf numFmtId="49" fontId="3" fillId="6" borderId="1" xfId="0" applyNumberFormat="1" applyFont="1" applyFill="1" applyBorder="1" applyProtection="1">
      <protection locked="0"/>
    </xf>
    <xf numFmtId="49" fontId="0" fillId="6" borderId="1" xfId="0" applyNumberFormat="1" applyFill="1" applyBorder="1" applyProtection="1">
      <protection locked="0"/>
    </xf>
    <xf numFmtId="0" fontId="8" fillId="0" borderId="0" xfId="0" applyFont="1"/>
    <xf numFmtId="1" fontId="2" fillId="0" borderId="0" xfId="0" applyNumberFormat="1" applyFont="1" applyAlignment="1">
      <alignment horizontal="left"/>
    </xf>
    <xf numFmtId="0" fontId="7" fillId="0" borderId="0" xfId="0" applyFont="1"/>
    <xf numFmtId="0" fontId="7" fillId="0" borderId="1" xfId="0" applyFont="1" applyBorder="1"/>
    <xf numFmtId="4" fontId="7" fillId="0" borderId="0" xfId="0" applyNumberFormat="1" applyFont="1"/>
    <xf numFmtId="3" fontId="0" fillId="0" borderId="0" xfId="0" applyNumberFormat="1"/>
    <xf numFmtId="0" fontId="13" fillId="0" borderId="0" xfId="0" applyFont="1"/>
    <xf numFmtId="0" fontId="14" fillId="0" borderId="0" xfId="0" applyFont="1" applyAlignment="1">
      <alignment vertical="center"/>
    </xf>
    <xf numFmtId="0" fontId="0" fillId="0" borderId="0" xfId="0" applyAlignment="1">
      <alignment horizontal="center"/>
    </xf>
    <xf numFmtId="165" fontId="0" fillId="0" borderId="0" xfId="0" applyNumberFormat="1"/>
    <xf numFmtId="14" fontId="0" fillId="0" borderId="0" xfId="0" applyNumberFormat="1"/>
    <xf numFmtId="1" fontId="4" fillId="2" borderId="3" xfId="0" applyNumberFormat="1" applyFont="1" applyFill="1" applyBorder="1" applyAlignment="1">
      <alignment horizontal="center"/>
    </xf>
    <xf numFmtId="0" fontId="4" fillId="2" borderId="3" xfId="0" applyFont="1" applyFill="1" applyBorder="1"/>
    <xf numFmtId="0" fontId="4" fillId="2" borderId="1" xfId="0" applyFont="1" applyFill="1" applyBorder="1"/>
    <xf numFmtId="164" fontId="0" fillId="0" borderId="0" xfId="0" applyNumberFormat="1"/>
    <xf numFmtId="0" fontId="9" fillId="2" borderId="1" xfId="0" applyFont="1" applyFill="1" applyBorder="1"/>
    <xf numFmtId="3" fontId="3" fillId="8" borderId="1" xfId="0" applyNumberFormat="1" applyFont="1" applyFill="1" applyBorder="1"/>
    <xf numFmtId="3" fontId="3" fillId="2" borderId="1" xfId="0" applyNumberFormat="1" applyFont="1" applyFill="1" applyBorder="1"/>
    <xf numFmtId="1" fontId="3" fillId="2" borderId="1" xfId="0" applyNumberFormat="1" applyFont="1" applyFill="1" applyBorder="1"/>
    <xf numFmtId="49" fontId="0" fillId="2" borderId="1" xfId="0" applyNumberFormat="1" applyFill="1" applyBorder="1"/>
    <xf numFmtId="1" fontId="3" fillId="0" borderId="0" xfId="0" applyNumberFormat="1" applyFont="1"/>
    <xf numFmtId="1" fontId="0" fillId="0" borderId="0" xfId="0" applyNumberFormat="1"/>
    <xf numFmtId="1" fontId="4" fillId="2" borderId="1" xfId="0" applyNumberFormat="1" applyFont="1" applyFill="1" applyBorder="1"/>
    <xf numFmtId="0" fontId="0" fillId="7" borderId="0" xfId="0" applyFill="1"/>
    <xf numFmtId="0" fontId="3" fillId="7" borderId="0" xfId="0" applyFont="1" applyFill="1"/>
    <xf numFmtId="9" fontId="4" fillId="7" borderId="0" xfId="0" applyNumberFormat="1" applyFont="1" applyFill="1"/>
    <xf numFmtId="3" fontId="4" fillId="7" borderId="0" xfId="0" applyNumberFormat="1" applyFont="1" applyFill="1"/>
    <xf numFmtId="0" fontId="4" fillId="0" borderId="0" xfId="0" applyFont="1"/>
    <xf numFmtId="0" fontId="3" fillId="0" borderId="0" xfId="0" applyFont="1"/>
    <xf numFmtId="0" fontId="9" fillId="2" borderId="4" xfId="0" applyFont="1" applyFill="1" applyBorder="1"/>
    <xf numFmtId="49" fontId="4" fillId="2" borderId="3" xfId="0" applyNumberFormat="1" applyFont="1" applyFill="1" applyBorder="1"/>
    <xf numFmtId="49" fontId="0" fillId="2" borderId="4" xfId="0" applyNumberFormat="1" applyFill="1" applyBorder="1"/>
    <xf numFmtId="3" fontId="4" fillId="2" borderId="1" xfId="0" applyNumberFormat="1" applyFont="1" applyFill="1" applyBorder="1"/>
    <xf numFmtId="3" fontId="4" fillId="0" borderId="0" xfId="0" applyNumberFormat="1" applyFont="1"/>
    <xf numFmtId="49" fontId="3" fillId="0" borderId="0" xfId="0" applyNumberFormat="1" applyFont="1" applyAlignment="1">
      <alignment horizontal="center"/>
    </xf>
    <xf numFmtId="49" fontId="3" fillId="0" borderId="0" xfId="0" applyNumberFormat="1" applyFont="1"/>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0" xfId="2"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6" fillId="0" borderId="0" xfId="0" applyFont="1" applyAlignment="1">
      <alignment horizontal="left" vertical="center" wrapText="1"/>
    </xf>
    <xf numFmtId="0" fontId="28" fillId="0" borderId="1" xfId="0" applyFont="1" applyBorder="1" applyAlignment="1">
      <alignment horizontal="left" vertical="center" wrapText="1"/>
    </xf>
    <xf numFmtId="0" fontId="9" fillId="9" borderId="1" xfId="0" applyFont="1" applyFill="1" applyBorder="1"/>
    <xf numFmtId="49" fontId="29" fillId="6" borderId="1" xfId="0" applyNumberFormat="1" applyFont="1" applyFill="1" applyBorder="1" applyProtection="1">
      <protection locked="0"/>
    </xf>
    <xf numFmtId="0" fontId="30" fillId="7" borderId="0" xfId="0" applyFont="1" applyFill="1"/>
    <xf numFmtId="3" fontId="31" fillId="0" borderId="0" xfId="0" applyNumberFormat="1" applyFont="1" applyAlignment="1">
      <alignment vertical="center"/>
    </xf>
    <xf numFmtId="168" fontId="0" fillId="9" borderId="0" xfId="0" applyNumberFormat="1" applyFill="1"/>
    <xf numFmtId="0" fontId="17" fillId="0" borderId="0" xfId="2" applyProtection="1">
      <protection locked="0"/>
    </xf>
    <xf numFmtId="0" fontId="4" fillId="2" borderId="4" xfId="0" applyFont="1" applyFill="1" applyBorder="1" applyAlignment="1">
      <alignment horizontal="center"/>
    </xf>
    <xf numFmtId="0" fontId="4" fillId="2" borderId="19" xfId="0" applyFont="1" applyFill="1" applyBorder="1" applyAlignment="1">
      <alignment horizontal="center"/>
    </xf>
    <xf numFmtId="0" fontId="4" fillId="2" borderId="16" xfId="0" applyFont="1" applyFill="1" applyBorder="1" applyAlignment="1">
      <alignment horizontal="center"/>
    </xf>
    <xf numFmtId="49" fontId="3" fillId="0" borderId="0" xfId="0" applyNumberFormat="1" applyFont="1" applyAlignment="1">
      <alignment horizontal="center"/>
    </xf>
    <xf numFmtId="49" fontId="3" fillId="6" borderId="4" xfId="0" applyNumberFormat="1" applyFont="1" applyFill="1" applyBorder="1" applyAlignment="1" applyProtection="1">
      <alignment horizontal="center"/>
      <protection locked="0"/>
    </xf>
    <xf numFmtId="49" fontId="3" fillId="6" borderId="16" xfId="0" applyNumberFormat="1" applyFont="1" applyFill="1" applyBorder="1" applyAlignment="1" applyProtection="1">
      <alignment horizontal="center"/>
      <protection locked="0"/>
    </xf>
    <xf numFmtId="0" fontId="7" fillId="6" borderId="4" xfId="0" applyFont="1" applyFill="1" applyBorder="1" applyProtection="1">
      <protection locked="0"/>
    </xf>
    <xf numFmtId="0" fontId="0" fillId="0" borderId="16" xfId="0" applyBorder="1" applyProtection="1">
      <protection locked="0"/>
    </xf>
    <xf numFmtId="0" fontId="7" fillId="0" borderId="0" xfId="0" applyFont="1"/>
    <xf numFmtId="0" fontId="0" fillId="0" borderId="0" xfId="0"/>
    <xf numFmtId="0" fontId="4" fillId="2" borderId="1" xfId="0" applyFont="1" applyFill="1" applyBorder="1" applyAlignment="1">
      <alignment horizontal="center"/>
    </xf>
    <xf numFmtId="0" fontId="4" fillId="2" borderId="1" xfId="0" applyFont="1" applyFill="1" applyBorder="1"/>
    <xf numFmtId="0" fontId="3" fillId="0" borderId="1" xfId="0" applyFont="1" applyBorder="1"/>
    <xf numFmtId="0" fontId="3" fillId="0" borderId="0" xfId="0" applyFont="1" applyAlignment="1">
      <alignment horizontal="right" vertical="center"/>
    </xf>
    <xf numFmtId="0" fontId="7" fillId="0" borderId="0" xfId="0" applyFont="1" applyAlignment="1">
      <alignment horizontal="center"/>
    </xf>
    <xf numFmtId="0" fontId="7" fillId="6" borderId="4" xfId="0" applyFont="1" applyFill="1" applyBorder="1" applyAlignment="1" applyProtection="1">
      <alignment horizontal="center"/>
      <protection locked="0"/>
    </xf>
    <xf numFmtId="0" fontId="7" fillId="6" borderId="19" xfId="0" applyFont="1" applyFill="1" applyBorder="1" applyAlignment="1" applyProtection="1">
      <alignment horizontal="center"/>
      <protection locked="0"/>
    </xf>
    <xf numFmtId="0" fontId="7" fillId="6" borderId="16" xfId="0" applyFont="1" applyFill="1" applyBorder="1" applyAlignment="1" applyProtection="1">
      <alignment horizontal="center"/>
      <protection locked="0"/>
    </xf>
    <xf numFmtId="0" fontId="11" fillId="0" borderId="0" xfId="0" applyFont="1" applyAlignment="1">
      <alignment horizontal="left" vertical="center" indent="3"/>
    </xf>
    <xf numFmtId="166" fontId="12" fillId="0" borderId="0" xfId="0" applyNumberFormat="1" applyFont="1" applyAlignment="1">
      <alignment horizontal="left" vertical="top"/>
    </xf>
    <xf numFmtId="0" fontId="12" fillId="0" borderId="0" xfId="0" applyFont="1" applyAlignment="1">
      <alignment horizontal="center" vertical="top"/>
    </xf>
    <xf numFmtId="167" fontId="12" fillId="0" borderId="0" xfId="0" applyNumberFormat="1" applyFont="1" applyAlignment="1">
      <alignment horizontal="right" vertical="top"/>
    </xf>
    <xf numFmtId="0" fontId="0" fillId="0" borderId="9" xfId="0" applyBorder="1" applyAlignment="1">
      <alignment horizontal="center" vertical="top" wrapText="1"/>
    </xf>
    <xf numFmtId="0" fontId="0" fillId="0" borderId="10" xfId="0" applyBorder="1" applyAlignment="1">
      <alignment horizontal="center" vertical="top" wrapText="1"/>
    </xf>
  </cellXfs>
  <cellStyles count="3">
    <cellStyle name="Hyperlink" xfId="2" builtinId="8"/>
    <cellStyle name="Normal" xfId="0" builtinId="0"/>
    <cellStyle name="Percent" xfId="1" builtinId="5"/>
  </cellStyles>
  <dxfs count="11">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numFmt numFmtId="4" formatCode="#,##0.00"/>
    </dxf>
    <dxf>
      <numFmt numFmtId="4" formatCode="#,##0.00"/>
    </dxf>
    <dxf>
      <numFmt numFmtId="168" formatCode="#,##0.0"/>
      <fill>
        <patternFill patternType="solid">
          <fgColor indexed="64"/>
          <bgColor rgb="FFFFC000"/>
        </patternFill>
      </fill>
    </dxf>
    <dxf>
      <numFmt numFmtId="4" formatCode="#,##0.00"/>
    </dxf>
    <dxf>
      <numFmt numFmtId="4" formatCode="#,##0.00"/>
    </dxf>
  </dxfs>
  <tableStyles count="0" defaultTableStyle="TableStyleMedium2" defaultPivotStyle="PivotStyleLight16"/>
  <colors>
    <mruColors>
      <color rgb="FFE7F34F"/>
      <color rgb="FFEDF67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17</xdr:col>
          <xdr:colOff>0</xdr:colOff>
          <xdr:row>12</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S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0</xdr:rowOff>
        </xdr:from>
        <xdr:to>
          <xdr:col>17</xdr:col>
          <xdr:colOff>0</xdr:colOff>
          <xdr:row>14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S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0</xdr:rowOff>
        </xdr:from>
        <xdr:to>
          <xdr:col>17</xdr:col>
          <xdr:colOff>0</xdr:colOff>
          <xdr:row>15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S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0</xdr:rowOff>
        </xdr:from>
        <xdr:to>
          <xdr:col>17</xdr:col>
          <xdr:colOff>0</xdr:colOff>
          <xdr:row>16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S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17</xdr:col>
          <xdr:colOff>0</xdr:colOff>
          <xdr:row>17</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S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0</xdr:rowOff>
        </xdr:from>
        <xdr:to>
          <xdr:col>17</xdr:col>
          <xdr:colOff>0</xdr:colOff>
          <xdr:row>18</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SE" sz="800" b="0" i="0" u="none" strike="noStrike" baseline="0">
                  <a:solidFill>
                    <a:srgbClr val="000000"/>
                  </a:solidFill>
                  <a:latin typeface="Segoe UI"/>
                  <a:cs typeface="Segoe UI"/>
                </a:rPr>
                <a:t>ja</a:t>
              </a:r>
            </a:p>
          </xdr:txBody>
        </xdr:sp>
        <xdr:clientData fLocksWithSheet="0"/>
      </xdr:twoCellAnchor>
    </mc:Choice>
    <mc:Fallback/>
  </mc:AlternateContent>
  <xdr:twoCellAnchor>
    <xdr:from>
      <xdr:col>16</xdr:col>
      <xdr:colOff>185737</xdr:colOff>
      <xdr:row>7</xdr:row>
      <xdr:rowOff>0</xdr:rowOff>
    </xdr:from>
    <xdr:to>
      <xdr:col>16</xdr:col>
      <xdr:colOff>185737</xdr:colOff>
      <xdr:row>12</xdr:row>
      <xdr:rowOff>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11749087" y="1828800"/>
          <a:ext cx="0" cy="1019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filter.gi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52400" cy="152400"/>
        </a:xfrm>
        <a:prstGeom prst="rect">
          <a:avLst/>
        </a:prstGeom>
        <a:noFill/>
        <a:ln>
          <a:noFill/>
        </a:ln>
      </xdr:spPr>
    </xdr:pic>
    <xdr:clientData/>
  </xdr:oneCellAnchor>
  <xdr:oneCellAnchor>
    <xdr:from>
      <xdr:col>0</xdr:col>
      <xdr:colOff>0</xdr:colOff>
      <xdr:row>1</xdr:row>
      <xdr:rowOff>0</xdr:rowOff>
    </xdr:from>
    <xdr:ext cx="152400" cy="152400"/>
    <xdr:pic>
      <xdr:nvPicPr>
        <xdr:cNvPr id="3" name="filter.gif">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160020"/>
          <a:ext cx="152400" cy="152400"/>
        </a:xfrm>
        <a:prstGeom prst="rect">
          <a:avLst/>
        </a:prstGeom>
        <a:noFill/>
        <a:ln>
          <a:noFill/>
        </a:ln>
      </xdr:spPr>
    </xdr:pic>
    <xdr:clientData/>
  </xdr:oneCellAnchor>
  <xdr:oneCellAnchor>
    <xdr:from>
      <xdr:col>0</xdr:col>
      <xdr:colOff>0</xdr:colOff>
      <xdr:row>2</xdr:row>
      <xdr:rowOff>0</xdr:rowOff>
    </xdr:from>
    <xdr:ext cx="152400" cy="152400"/>
    <xdr:pic>
      <xdr:nvPicPr>
        <xdr:cNvPr id="4" name="filter.gif">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320040"/>
          <a:ext cx="152400" cy="152400"/>
        </a:xfrm>
        <a:prstGeom prst="rect">
          <a:avLst/>
        </a:prstGeom>
        <a:noFill/>
        <a:ln>
          <a:noFill/>
        </a:ln>
      </xdr:spPr>
    </xdr:pic>
    <xdr:clientData/>
  </xdr:oneCellAnchor>
  <xdr:oneCellAnchor>
    <xdr:from>
      <xdr:col>0</xdr:col>
      <xdr:colOff>0</xdr:colOff>
      <xdr:row>3</xdr:row>
      <xdr:rowOff>0</xdr:rowOff>
    </xdr:from>
    <xdr:ext cx="266700" cy="266700"/>
    <xdr:pic>
      <xdr:nvPicPr>
        <xdr:cNvPr id="5" name="RSXls2007_missing.gif">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0" y="480060"/>
          <a:ext cx="266700" cy="266700"/>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3:F9" totalsRowShown="0">
  <autoFilter ref="A3:F9" xr:uid="{00000000-0009-0000-0100-000005000000}"/>
  <tableColumns count="6">
    <tableColumn id="1" xr3:uid="{00000000-0010-0000-0000-000001000000}" name="Välj Institution"/>
    <tableColumn id="2" xr3:uid="{00000000-0010-0000-0000-000002000000}" name="OH - FOFU" dataDxfId="10"/>
    <tableColumn id="4" xr3:uid="{00000000-0010-0000-0000-000004000000}" name="OH-GRU" dataDxfId="9"/>
    <tableColumn id="3" xr3:uid="{00000000-0010-0000-0000-000003000000}" name="Lokal-inst" dataDxfId="8"/>
    <tableColumn id="5" xr3:uid="{00000000-0010-0000-0000-000005000000}" name="FOFU" dataDxfId="7">
      <calculatedColumnFormula>59.1+Table5[[#This Row],[OH - FOFU]]+Table5[[#This Row],[Lokal-inst]]</calculatedColumnFormula>
    </tableColumn>
    <tableColumn id="6" xr3:uid="{00000000-0010-0000-0000-000006000000}" name="GRU" dataDxfId="6">
      <calculatedColumnFormula>59.1+Table5[[#This Row],[OH-GRU]]+Table5[[#This Row],[Lokal-inst]]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intra.kth.se/anstallning/anstallningsvillkor/lon/doktorandstegen-1.572915"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ntra.kth.se/anstallning/anstallningsvillkor/lon/doktorandstegen-1.572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ntra.kth.se/en/anstallning/anstallningsvillkor/lon/doktorandstegen-1.5729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53"/>
  <sheetViews>
    <sheetView tabSelected="1" topLeftCell="H1" zoomScaleNormal="100" workbookViewId="0">
      <selection activeCell="I3" sqref="I3:J3"/>
    </sheetView>
  </sheetViews>
  <sheetFormatPr defaultColWidth="9.140625" defaultRowHeight="15" x14ac:dyDescent="0.25"/>
  <cols>
    <col min="1" max="1" width="10.42578125" hidden="1" customWidth="1"/>
    <col min="2" max="2" width="6.28515625" hidden="1" customWidth="1"/>
    <col min="3" max="3" width="4.28515625" hidden="1" customWidth="1"/>
    <col min="4" max="4" width="18.140625" hidden="1" customWidth="1"/>
    <col min="5" max="5" width="11.140625" hidden="1" customWidth="1"/>
    <col min="6" max="6" width="10.5703125" hidden="1" customWidth="1"/>
    <col min="7" max="7" width="34.5703125" hidden="1" customWidth="1"/>
    <col min="8" max="8" width="18.42578125" customWidth="1"/>
    <col min="9" max="9" width="21.140625" customWidth="1"/>
    <col min="10" max="10" width="12" customWidth="1"/>
    <col min="11" max="12" width="11" customWidth="1"/>
    <col min="13" max="13" width="9.5703125" customWidth="1"/>
    <col min="14" max="15" width="10.5703125" customWidth="1"/>
    <col min="16" max="16" width="10.85546875" customWidth="1"/>
    <col min="17" max="17" width="5.5703125" customWidth="1"/>
    <col min="18" max="18" width="5.140625" customWidth="1"/>
    <col min="19" max="30" width="8.85546875" customWidth="1"/>
    <col min="31" max="31" width="10.42578125" bestFit="1" customWidth="1"/>
    <col min="32" max="42" width="8.85546875" customWidth="1"/>
  </cols>
  <sheetData>
    <row r="1" spans="4:34" ht="23.25" x14ac:dyDescent="0.35">
      <c r="H1" s="36" t="s">
        <v>89</v>
      </c>
      <c r="L1" s="37" t="s">
        <v>163</v>
      </c>
      <c r="M1" s="38"/>
      <c r="N1" s="38"/>
      <c r="O1" s="38" t="s">
        <v>166</v>
      </c>
    </row>
    <row r="2" spans="4:34" ht="23.25" x14ac:dyDescent="0.35">
      <c r="H2" s="36"/>
      <c r="L2" s="37"/>
      <c r="M2" s="38"/>
      <c r="N2" s="38"/>
      <c r="O2" s="88" t="s">
        <v>165</v>
      </c>
    </row>
    <row r="3" spans="4:34" ht="20.100000000000001" customHeight="1" x14ac:dyDescent="0.25">
      <c r="H3" s="39" t="s">
        <v>155</v>
      </c>
      <c r="I3" s="95" t="s">
        <v>154</v>
      </c>
      <c r="J3" s="96"/>
      <c r="N3" s="40"/>
      <c r="O3" s="40" t="s">
        <v>164</v>
      </c>
    </row>
    <row r="4" spans="4:34" ht="20.100000000000001" customHeight="1" x14ac:dyDescent="0.25">
      <c r="E4">
        <f>DATE(YEAR(I5),12,31)-DATE(YEAR(I5),1,1)</f>
        <v>365</v>
      </c>
      <c r="H4" s="39" t="s">
        <v>4</v>
      </c>
      <c r="I4" s="95" t="s">
        <v>3</v>
      </c>
      <c r="J4" s="96"/>
      <c r="K4" s="38"/>
      <c r="L4" s="38"/>
      <c r="N4" s="40"/>
      <c r="O4" s="40"/>
      <c r="AG4" s="38"/>
      <c r="AH4" s="40"/>
    </row>
    <row r="5" spans="4:34" ht="20.100000000000001" customHeight="1" x14ac:dyDescent="0.25">
      <c r="D5" t="s">
        <v>146</v>
      </c>
      <c r="E5">
        <f>YEAR(I6)-YEAR(I5)+1</f>
        <v>1</v>
      </c>
      <c r="H5" s="39" t="s">
        <v>46</v>
      </c>
      <c r="I5" s="32"/>
      <c r="J5" s="38"/>
      <c r="K5" s="38"/>
      <c r="L5" s="38"/>
      <c r="N5" s="40"/>
      <c r="O5" s="40"/>
      <c r="S5" s="41"/>
      <c r="AG5" s="38"/>
      <c r="AH5" s="40"/>
    </row>
    <row r="6" spans="4:34" ht="20.100000000000001" customHeight="1" x14ac:dyDescent="0.25">
      <c r="D6" t="s">
        <v>148</v>
      </c>
      <c r="E6" s="30">
        <f>ROUND((DATEDIF(I5, DATE(YEAR(I5),12,31), "D")+1)/E4,2)</f>
        <v>1.01</v>
      </c>
      <c r="H6" s="39" t="s">
        <v>47</v>
      </c>
      <c r="I6" s="32"/>
      <c r="J6" s="38"/>
      <c r="K6" s="38"/>
      <c r="L6" s="38"/>
      <c r="N6" s="40"/>
      <c r="O6" s="40"/>
      <c r="AG6" s="38"/>
      <c r="AH6" s="40"/>
    </row>
    <row r="7" spans="4:34" ht="20.100000000000001" customHeight="1" x14ac:dyDescent="0.25">
      <c r="D7" t="s">
        <v>147</v>
      </c>
      <c r="E7" s="30" t="e">
        <f>ROUND((DATEDIF(DATE(YEAR(I6),1,1),I6, "D")+1)/E4,2)</f>
        <v>#NUM!</v>
      </c>
      <c r="H7" s="39" t="s">
        <v>84</v>
      </c>
      <c r="I7" s="33">
        <v>32000</v>
      </c>
      <c r="J7" s="38"/>
      <c r="K7" s="38"/>
      <c r="L7" s="38"/>
      <c r="M7" s="42"/>
      <c r="N7" s="102" t="s">
        <v>80</v>
      </c>
      <c r="O7" s="102"/>
      <c r="P7" s="102"/>
      <c r="Q7" s="102"/>
      <c r="AG7" s="38"/>
      <c r="AH7" s="40"/>
    </row>
    <row r="8" spans="4:34" ht="20.100000000000001" customHeight="1" x14ac:dyDescent="0.25">
      <c r="H8" s="39" t="s">
        <v>35</v>
      </c>
      <c r="I8" s="33">
        <v>100</v>
      </c>
      <c r="M8" s="43"/>
      <c r="N8" s="40"/>
      <c r="O8" s="40"/>
      <c r="Q8" s="44"/>
      <c r="T8" s="45"/>
      <c r="AG8" s="42"/>
      <c r="AH8" s="40"/>
    </row>
    <row r="9" spans="4:34" ht="14.1" customHeight="1" x14ac:dyDescent="0.25">
      <c r="J9" s="46"/>
      <c r="K9" s="46"/>
      <c r="L9" s="46"/>
      <c r="Q9" s="44"/>
      <c r="AG9" s="43"/>
      <c r="AH9" s="40"/>
    </row>
    <row r="10" spans="4:34" x14ac:dyDescent="0.25">
      <c r="J10" s="47">
        <f>YEAR(I5)</f>
        <v>1900</v>
      </c>
      <c r="K10" s="47">
        <f>J$10+1</f>
        <v>1901</v>
      </c>
      <c r="L10" s="47">
        <f t="shared" ref="L10:O10" si="0">K$10+1</f>
        <v>1902</v>
      </c>
      <c r="M10" s="47">
        <f t="shared" si="0"/>
        <v>1903</v>
      </c>
      <c r="N10" s="47">
        <f t="shared" si="0"/>
        <v>1904</v>
      </c>
      <c r="O10" s="47">
        <f t="shared" si="0"/>
        <v>1905</v>
      </c>
      <c r="P10" s="48" t="s">
        <v>1</v>
      </c>
      <c r="Q10" s="44"/>
    </row>
    <row r="11" spans="4:34" x14ac:dyDescent="0.25">
      <c r="E11" t="s">
        <v>154</v>
      </c>
      <c r="H11" s="49" t="s">
        <v>88</v>
      </c>
      <c r="I11" s="49"/>
      <c r="J11" s="89" t="s">
        <v>81</v>
      </c>
      <c r="K11" s="90"/>
      <c r="L11" s="90"/>
      <c r="M11" s="90"/>
      <c r="N11" s="90"/>
      <c r="O11" s="91"/>
      <c r="P11" s="49"/>
      <c r="Q11" s="44"/>
      <c r="R11" s="50"/>
    </row>
    <row r="12" spans="4:34" ht="17.25" customHeight="1" x14ac:dyDescent="0.25">
      <c r="E12" t="s">
        <v>149</v>
      </c>
      <c r="H12" s="49" t="s">
        <v>86</v>
      </c>
      <c r="I12" s="51" t="s">
        <v>87</v>
      </c>
      <c r="J12" s="52"/>
      <c r="K12" s="52"/>
      <c r="L12" s="52"/>
      <c r="M12" s="52"/>
      <c r="N12" s="52"/>
      <c r="O12" s="52"/>
      <c r="P12" s="53"/>
      <c r="Q12" s="44"/>
      <c r="S12" s="41"/>
      <c r="U12" s="41"/>
    </row>
    <row r="13" spans="4:34" ht="17.25" customHeight="1" x14ac:dyDescent="0.25">
      <c r="E13" t="s">
        <v>150</v>
      </c>
      <c r="H13" s="34"/>
      <c r="I13" s="35"/>
      <c r="J13" s="31"/>
      <c r="K13" s="31"/>
      <c r="L13" s="31"/>
      <c r="M13" s="31"/>
      <c r="N13" s="31"/>
      <c r="O13" s="31"/>
      <c r="P13" s="54">
        <f>SUM(J13:O13)</f>
        <v>0</v>
      </c>
    </row>
    <row r="14" spans="4:34" ht="17.25" customHeight="1" x14ac:dyDescent="0.25">
      <c r="E14" t="s">
        <v>151</v>
      </c>
      <c r="H14" s="34"/>
      <c r="I14" s="35"/>
      <c r="J14" s="31"/>
      <c r="K14" s="31"/>
      <c r="L14" s="31"/>
      <c r="M14" s="31"/>
      <c r="N14" s="31"/>
      <c r="O14" s="31"/>
      <c r="P14" s="54">
        <f t="shared" ref="P14:P18" si="1">SUM(J14:O14)</f>
        <v>0</v>
      </c>
    </row>
    <row r="15" spans="4:34" ht="17.25" customHeight="1" x14ac:dyDescent="0.25">
      <c r="E15" t="s">
        <v>153</v>
      </c>
      <c r="H15" s="34"/>
      <c r="I15" s="35"/>
      <c r="J15" s="31"/>
      <c r="K15" s="31"/>
      <c r="L15" s="31"/>
      <c r="M15" s="31"/>
      <c r="N15" s="31"/>
      <c r="O15" s="31"/>
      <c r="P15" s="54">
        <f t="shared" si="1"/>
        <v>0</v>
      </c>
    </row>
    <row r="16" spans="4:34" ht="17.25" customHeight="1" x14ac:dyDescent="0.25">
      <c r="H16" s="34"/>
      <c r="I16" s="35"/>
      <c r="J16" s="31"/>
      <c r="K16" s="31"/>
      <c r="L16" s="31"/>
      <c r="M16" s="31"/>
      <c r="N16" s="31"/>
      <c r="O16" s="31"/>
      <c r="P16" s="54">
        <f t="shared" si="1"/>
        <v>0</v>
      </c>
    </row>
    <row r="17" spans="1:16" ht="17.25" customHeight="1" x14ac:dyDescent="0.25">
      <c r="H17" s="34"/>
      <c r="I17" s="55" t="s">
        <v>33</v>
      </c>
      <c r="J17" s="31"/>
      <c r="K17" s="31"/>
      <c r="L17" s="31"/>
      <c r="M17" s="31"/>
      <c r="N17" s="31"/>
      <c r="O17" s="31"/>
      <c r="P17" s="54">
        <f t="shared" si="1"/>
        <v>0</v>
      </c>
    </row>
    <row r="18" spans="1:16" x14ac:dyDescent="0.25">
      <c r="A18" s="56">
        <f>100-SUM(J13:J17)</f>
        <v>100</v>
      </c>
      <c r="B18" s="56">
        <f>IF(2&lt;=$E5,100-SUM(K13:K17),0)</f>
        <v>0</v>
      </c>
      <c r="C18" s="56">
        <f>IF(3&lt;=$E5,100-SUM(L13:L17),0)</f>
        <v>0</v>
      </c>
      <c r="D18" s="56">
        <f>IF(4&lt;=$E5,100-SUM(M13:M17),0)</f>
        <v>0</v>
      </c>
      <c r="E18" s="56">
        <f>IF(5&lt;=$E5,100-SUM(N13:N17),0)</f>
        <v>0</v>
      </c>
      <c r="F18" s="56">
        <f>IF(6&lt;=$E5,100-SUM(O13:O17),0)</f>
        <v>0</v>
      </c>
      <c r="H18" s="84" t="s">
        <v>157</v>
      </c>
      <c r="I18" s="55" t="s">
        <v>156</v>
      </c>
      <c r="J18" s="54">
        <f>IF(A18&gt;=0,A18,NA())</f>
        <v>100</v>
      </c>
      <c r="K18" s="54">
        <f t="shared" ref="K18:O18" si="2">IF(B18&gt;=0,B18,NA())</f>
        <v>0</v>
      </c>
      <c r="L18" s="54">
        <f t="shared" si="2"/>
        <v>0</v>
      </c>
      <c r="M18" s="54">
        <f t="shared" si="2"/>
        <v>0</v>
      </c>
      <c r="N18" s="54">
        <f t="shared" si="2"/>
        <v>0</v>
      </c>
      <c r="O18" s="54">
        <f t="shared" si="2"/>
        <v>0</v>
      </c>
      <c r="P18" s="54">
        <f t="shared" si="1"/>
        <v>100</v>
      </c>
    </row>
    <row r="19" spans="1:16" x14ac:dyDescent="0.25">
      <c r="A19" s="57"/>
      <c r="B19" s="57"/>
      <c r="H19" s="100" t="s">
        <v>79</v>
      </c>
      <c r="I19" s="101"/>
      <c r="J19" s="58">
        <f>SUM(J13:J18)</f>
        <v>100</v>
      </c>
      <c r="K19" s="58">
        <f t="shared" ref="K19:P19" si="3">SUM(K13:K18)</f>
        <v>0</v>
      </c>
      <c r="L19" s="58">
        <f t="shared" si="3"/>
        <v>0</v>
      </c>
      <c r="M19" s="58">
        <f t="shared" si="3"/>
        <v>0</v>
      </c>
      <c r="N19" s="58">
        <f t="shared" si="3"/>
        <v>0</v>
      </c>
      <c r="O19" s="58">
        <f t="shared" si="3"/>
        <v>0</v>
      </c>
      <c r="P19" s="58">
        <f t="shared" si="3"/>
        <v>100</v>
      </c>
    </row>
    <row r="20" spans="1:16" s="59" customFormat="1" x14ac:dyDescent="0.25">
      <c r="H20" s="85" t="s">
        <v>158</v>
      </c>
      <c r="I20" s="60"/>
      <c r="J20" s="61"/>
      <c r="K20" s="62"/>
      <c r="L20" s="62"/>
      <c r="M20" s="62"/>
      <c r="N20" s="62"/>
      <c r="O20" s="62"/>
      <c r="P20" s="62"/>
    </row>
    <row r="21" spans="1:16" x14ac:dyDescent="0.25">
      <c r="H21" s="63"/>
      <c r="I21" s="64"/>
      <c r="J21" s="47">
        <f>YEAR(I5)</f>
        <v>1900</v>
      </c>
      <c r="K21" s="47">
        <f>J21+1</f>
        <v>1901</v>
      </c>
      <c r="L21" s="47">
        <f>J21+2</f>
        <v>1902</v>
      </c>
      <c r="M21" s="47">
        <f>J21+3</f>
        <v>1903</v>
      </c>
      <c r="N21" s="47">
        <f>J21+4</f>
        <v>1904</v>
      </c>
      <c r="O21" s="47">
        <f>J21+5</f>
        <v>1905</v>
      </c>
      <c r="P21" s="48" t="s">
        <v>1</v>
      </c>
    </row>
    <row r="22" spans="1:16" x14ac:dyDescent="0.25">
      <c r="H22" s="49" t="s">
        <v>41</v>
      </c>
      <c r="I22" s="49"/>
      <c r="J22" s="99" t="s">
        <v>34</v>
      </c>
      <c r="K22" s="100"/>
      <c r="L22" s="100"/>
      <c r="M22" s="100"/>
      <c r="N22" s="100"/>
      <c r="O22" s="49"/>
      <c r="P22" s="49"/>
    </row>
    <row r="23" spans="1:16" x14ac:dyDescent="0.25">
      <c r="H23" s="48" t="str">
        <f t="shared" ref="H23:H29" si="4">H12</f>
        <v>Projektnr</v>
      </c>
      <c r="I23" s="65" t="str">
        <f t="shared" ref="I23" si="5">I12</f>
        <v>Finansiär</v>
      </c>
      <c r="J23" s="53"/>
      <c r="K23" s="53"/>
      <c r="L23" s="53"/>
      <c r="M23" s="53"/>
      <c r="N23" s="53"/>
      <c r="O23" s="53"/>
      <c r="P23" s="53"/>
    </row>
    <row r="24" spans="1:16" x14ac:dyDescent="0.25">
      <c r="H24" s="66">
        <f t="shared" si="4"/>
        <v>0</v>
      </c>
      <c r="I24" s="67">
        <f t="shared" ref="I24:I28" si="6">I13</f>
        <v>0</v>
      </c>
      <c r="J24" s="53" t="e">
        <f>$I$7*$I$8/100*(1+'Underlag - låst'!$E$18/100)*J13/100*12*'Underlag - låst'!B$12*$E$6</f>
        <v>#VALUE!</v>
      </c>
      <c r="K24" s="53" t="e">
        <f>$I$7*$I$8/100*(1+'Underlag - låst'!$E$18/100)*K13/100*12*'Underlag - låst'!C$12*IF(2=$E$5,$E$7,1)</f>
        <v>#VALUE!</v>
      </c>
      <c r="L24" s="53" t="e">
        <f>$I$7*$I$8/100*(1+'Underlag - låst'!$E$18/100)*L13/100*12*'Underlag - låst'!D$12*IF(3=$E$5,$E$7,1)</f>
        <v>#VALUE!</v>
      </c>
      <c r="M24" s="53" t="e">
        <f>$I$7*$I$8/100*(1+'Underlag - låst'!$E$18/100)*M13/100*12*'Underlag - låst'!E$12*IF(4=$E$5,$E$7,1)</f>
        <v>#VALUE!</v>
      </c>
      <c r="N24" s="53" t="e">
        <f>$I$7*$I$8/100*(1+'Underlag - låst'!$E$18/100)*N13/100*12*'Underlag - låst'!F$12*IF(5=$E$5,$E$7,1)</f>
        <v>#VALUE!</v>
      </c>
      <c r="O24" s="53" t="e">
        <f>$I$7*$I$8/100*(1+'Underlag - låst'!$E$18/100)*O13/100*12*'Underlag - låst'!G$12*IF(6=$E$5,$E$7,1)</f>
        <v>#VALUE!</v>
      </c>
      <c r="P24" s="53" t="e">
        <f>SUM(J24:O24)</f>
        <v>#VALUE!</v>
      </c>
    </row>
    <row r="25" spans="1:16" x14ac:dyDescent="0.25">
      <c r="H25" s="66">
        <f t="shared" si="4"/>
        <v>0</v>
      </c>
      <c r="I25" s="67">
        <f t="shared" si="6"/>
        <v>0</v>
      </c>
      <c r="J25" s="53" t="e">
        <f>$I$7*$I$8/100*(1+'Underlag - låst'!$E$18/100)*J14/100*12*'Underlag - låst'!B$12*$E$6</f>
        <v>#VALUE!</v>
      </c>
      <c r="K25" s="53" t="e">
        <f>$I$7*$I$8/100*(1+'Underlag - låst'!$E$18/100)*K14/100*12*'Underlag - låst'!C$12*IF(2=$E$5,$E$7,1)</f>
        <v>#VALUE!</v>
      </c>
      <c r="L25" s="53" t="e">
        <f>$I$7*$I$8/100*(1+'Underlag - låst'!$E$18/100)*L14/100*12*'Underlag - låst'!D$12*IF(3=$E$5,$E$7,1)</f>
        <v>#VALUE!</v>
      </c>
      <c r="M25" s="53" t="e">
        <f>$I$7*$I$8/100*(1+'Underlag - låst'!$E$18/100)*M14/100*12*'Underlag - låst'!E$12*IF(4=$E$5,$E$7,1)</f>
        <v>#VALUE!</v>
      </c>
      <c r="N25" s="53" t="e">
        <f>$I$7*$I$8/100*(1+'Underlag - låst'!$E$18/100)*N14/100*12*'Underlag - låst'!F$12*IF(5=$E$5,$E$7,1)</f>
        <v>#VALUE!</v>
      </c>
      <c r="O25" s="53" t="e">
        <f>$I$7*$I$8/100*(1+'Underlag - låst'!$E$18/100)*O14/100*12*'Underlag - låst'!G$12*IF(6=$E$5,$E$7,1)</f>
        <v>#VALUE!</v>
      </c>
      <c r="P25" s="53" t="e">
        <f t="shared" ref="P25:P29" si="7">SUM(J25:O25)</f>
        <v>#VALUE!</v>
      </c>
    </row>
    <row r="26" spans="1:16" x14ac:dyDescent="0.25">
      <c r="H26" s="66">
        <f t="shared" si="4"/>
        <v>0</v>
      </c>
      <c r="I26" s="67">
        <f t="shared" si="6"/>
        <v>0</v>
      </c>
      <c r="J26" s="53" t="e">
        <f>$I$7*$I$8/100*(1+'Underlag - låst'!$E$18/100)*J15/100*12*'Underlag - låst'!B$12*$E$6</f>
        <v>#VALUE!</v>
      </c>
      <c r="K26" s="53" t="e">
        <f>$I$7*$I$8/100*(1+'Underlag - låst'!$E$18/100)*K15/100*12*'Underlag - låst'!C$12*IF(2=$E$5,$E$7,1)</f>
        <v>#VALUE!</v>
      </c>
      <c r="L26" s="53" t="e">
        <f>$I$7*$I$8/100*(1+'Underlag - låst'!$E$18/100)*L15/100*12*'Underlag - låst'!D$12*IF(3=$E$5,$E$7,1)</f>
        <v>#VALUE!</v>
      </c>
      <c r="M26" s="53" t="e">
        <f>$I$7*$I$8/100*(1+'Underlag - låst'!$E$18/100)*M15/100*12*'Underlag - låst'!E$12*IF(4=$E$5,$E$7,1)</f>
        <v>#VALUE!</v>
      </c>
      <c r="N26" s="53" t="e">
        <f>$I$7*$I$8/100*(1+'Underlag - låst'!$E$18/100)*N15/100*12*'Underlag - låst'!F$12*IF(5=$E$5,$E$7,1)</f>
        <v>#VALUE!</v>
      </c>
      <c r="O26" s="53" t="e">
        <f>$I$7*$I$8/100*(1+'Underlag - låst'!$E$18/100)*O15/100*12*'Underlag - låst'!G$12*IF(6=$E$5,$E$7,1)</f>
        <v>#VALUE!</v>
      </c>
      <c r="P26" s="53" t="e">
        <f t="shared" si="7"/>
        <v>#VALUE!</v>
      </c>
    </row>
    <row r="27" spans="1:16" x14ac:dyDescent="0.25">
      <c r="H27" s="66">
        <f t="shared" si="4"/>
        <v>0</v>
      </c>
      <c r="I27" s="67">
        <f t="shared" si="6"/>
        <v>0</v>
      </c>
      <c r="J27" s="53" t="e">
        <f>$I$7*$I$8/100*(1+'Underlag - låst'!$E$18/100)*J16/100*12*'Underlag - låst'!B$12*$E$6</f>
        <v>#VALUE!</v>
      </c>
      <c r="K27" s="53" t="e">
        <f>$I$7*$I$8/100*(1+'Underlag - låst'!$E$18/100)*K16/100*12*'Underlag - låst'!C$12*IF(2=$E$5,$E$7,1)</f>
        <v>#VALUE!</v>
      </c>
      <c r="L27" s="53" t="e">
        <f>$I$7*$I$8/100*(1+'Underlag - låst'!$E$18/100)*L16/100*12*'Underlag - låst'!D$12*IF(3=$E$5,$E$7,1)</f>
        <v>#VALUE!</v>
      </c>
      <c r="M27" s="53" t="e">
        <f>$I$7*$I$8/100*(1+'Underlag - låst'!$E$18/100)*M16/100*12*'Underlag - låst'!E$12*IF(4=$E$5,$E$7,1)</f>
        <v>#VALUE!</v>
      </c>
      <c r="N27" s="53" t="e">
        <f>$I$7*$I$8/100*(1+'Underlag - låst'!$E$18/100)*N16/100*12*'Underlag - låst'!F$12*IF(5=$E$5,$E$7,1)</f>
        <v>#VALUE!</v>
      </c>
      <c r="O27" s="53" t="e">
        <f>$I$7*$I$8/100*(1+'Underlag - låst'!$E$18/100)*O16/100*12*'Underlag - låst'!G$12*IF(6=$E$5,$E$7,1)</f>
        <v>#VALUE!</v>
      </c>
      <c r="P27" s="53" t="e">
        <f t="shared" si="7"/>
        <v>#VALUE!</v>
      </c>
    </row>
    <row r="28" spans="1:16" x14ac:dyDescent="0.25">
      <c r="H28" s="66">
        <f t="shared" si="4"/>
        <v>0</v>
      </c>
      <c r="I28" s="67" t="str">
        <f t="shared" si="6"/>
        <v>GRU</v>
      </c>
      <c r="J28" s="53" t="e">
        <f>$I$7*$I$8/100*(1+'Underlag - låst'!$F$18/100)*J17/100*12*'Underlag - låst'!B$12*$E$6</f>
        <v>#VALUE!</v>
      </c>
      <c r="K28" s="53" t="e">
        <f>$I$7*$I$8/100*(1+'Underlag - låst'!$F$18/100)*K17/100*12*'Underlag - låst'!C$12*IF(2=$E$5,$E$7,1)</f>
        <v>#VALUE!</v>
      </c>
      <c r="L28" s="53" t="e">
        <f>$I$7*$I$8/100*(1+'Underlag - låst'!$F$18/100)*L17/100*12*'Underlag - låst'!D$12*IF(3=$E$5,$E$7,1)</f>
        <v>#VALUE!</v>
      </c>
      <c r="M28" s="53" t="e">
        <f>$I$7*$I$8/100*(1+'Underlag - låst'!$F$18/100)*M17/100*12*'Underlag - låst'!E$12*IF(4=$E$5,$E$7,1)</f>
        <v>#VALUE!</v>
      </c>
      <c r="N28" s="53" t="e">
        <f>$I$7*$I$8/100*(1+'Underlag - låst'!$F$18/100)*N17/100*12*'Underlag - låst'!F$12*IF(5=$E$5,$E$7,1)</f>
        <v>#VALUE!</v>
      </c>
      <c r="O28" s="53" t="e">
        <f>$I$7*$I$8/100*(1+'Underlag - låst'!$F$18/100)*O17/100*12*'Underlag - låst'!G$12*IF(6=$E$5,$E$7,1)</f>
        <v>#VALUE!</v>
      </c>
      <c r="P28" s="53" t="e">
        <f t="shared" si="7"/>
        <v>#VALUE!</v>
      </c>
    </row>
    <row r="29" spans="1:16" x14ac:dyDescent="0.25">
      <c r="H29" s="66" t="str">
        <f t="shared" si="4"/>
        <v>[Skriv FOFU-projektnr här]</v>
      </c>
      <c r="I29" s="67" t="s">
        <v>30</v>
      </c>
      <c r="J29" s="53" t="e">
        <f>$I$7*$I$8/100*(1+'Underlag - låst'!$E$18/100)*J18/100*12*'Underlag - låst'!B$12*$E$6</f>
        <v>#VALUE!</v>
      </c>
      <c r="K29" s="53" t="e">
        <f>$I$7*$I$8/100*(1+'Underlag - låst'!$E$18/100)*K18/100*12*'Underlag - låst'!C$12*IF(2=$E$5,$E$7,1)</f>
        <v>#VALUE!</v>
      </c>
      <c r="L29" s="53" t="e">
        <f>$I$7*$I$8/100*(1+'Underlag - låst'!$E$18/100)*L18/100*12*'Underlag - låst'!D$12*IF(3=$E$5,$E$7,1)</f>
        <v>#VALUE!</v>
      </c>
      <c r="M29" s="53" t="e">
        <f>$I$7*$I$8/100*(1+'Underlag - låst'!$E$18/100)*M18/100*12*'Underlag - låst'!E$12*IF(4=$E$5,$E$7,1)</f>
        <v>#VALUE!</v>
      </c>
      <c r="N29" s="53" t="e">
        <f>$I$7*$I$8/100*(1+'Underlag - låst'!$E$18/100)*N18/100*12*'Underlag - låst'!F$12*IF(5=$E$5,$E$7,1)</f>
        <v>#VALUE!</v>
      </c>
      <c r="O29" s="53" t="e">
        <f>$I$7*$I$8/100*(1+'Underlag - låst'!$E$18/100)*O18/100*12*'Underlag - låst'!G$12*IF(6=$E$5,$E$7,1)</f>
        <v>#VALUE!</v>
      </c>
      <c r="P29" s="53" t="e">
        <f t="shared" si="7"/>
        <v>#VALUE!</v>
      </c>
    </row>
    <row r="30" spans="1:16" x14ac:dyDescent="0.25">
      <c r="H30" s="100" t="s">
        <v>36</v>
      </c>
      <c r="I30" s="101"/>
      <c r="J30" s="68" t="e">
        <f>SUM(J24:J29)</f>
        <v>#VALUE!</v>
      </c>
      <c r="K30" s="68" t="e">
        <f t="shared" ref="K30:N30" si="8">SUM(K24:K29)</f>
        <v>#VALUE!</v>
      </c>
      <c r="L30" s="68" t="e">
        <f t="shared" si="8"/>
        <v>#VALUE!</v>
      </c>
      <c r="M30" s="68" t="e">
        <f t="shared" si="8"/>
        <v>#VALUE!</v>
      </c>
      <c r="N30" s="68" t="e">
        <f t="shared" si="8"/>
        <v>#VALUE!</v>
      </c>
      <c r="O30" s="68" t="e">
        <f>SUM(O24:O29)</f>
        <v>#VALUE!</v>
      </c>
      <c r="P30" s="68" t="e">
        <f>SUM(P24:P29)</f>
        <v>#VALUE!</v>
      </c>
    </row>
    <row r="31" spans="1:16" x14ac:dyDescent="0.25">
      <c r="H31" s="63"/>
      <c r="I31" s="64"/>
      <c r="J31" s="69"/>
      <c r="K31" s="69"/>
      <c r="L31" s="69"/>
      <c r="M31" s="69"/>
      <c r="N31" s="69"/>
      <c r="O31" s="69"/>
      <c r="P31" s="69"/>
    </row>
    <row r="32" spans="1:16" ht="15.75" x14ac:dyDescent="0.25">
      <c r="H32" s="38" t="s">
        <v>152</v>
      </c>
      <c r="I32" s="64"/>
      <c r="J32" s="69"/>
      <c r="K32" s="69"/>
      <c r="L32" s="69"/>
      <c r="M32" s="69"/>
      <c r="N32" s="69"/>
      <c r="O32" s="69"/>
      <c r="P32" s="69"/>
    </row>
    <row r="33" spans="8:17" x14ac:dyDescent="0.25">
      <c r="H33" s="63"/>
      <c r="I33" s="64"/>
      <c r="J33" s="69"/>
      <c r="K33" s="69"/>
      <c r="L33" s="69"/>
      <c r="M33" s="69"/>
      <c r="N33" s="69"/>
      <c r="O33" s="69"/>
      <c r="P33" s="69"/>
    </row>
    <row r="34" spans="8:17" x14ac:dyDescent="0.25">
      <c r="H34" s="63"/>
      <c r="I34" s="64"/>
      <c r="J34" s="69"/>
      <c r="K34" s="69"/>
      <c r="L34" s="69"/>
      <c r="M34" s="69"/>
      <c r="N34" s="69"/>
      <c r="O34" s="69"/>
      <c r="P34" s="69"/>
    </row>
    <row r="35" spans="8:17" ht="17.45" customHeight="1" x14ac:dyDescent="0.25">
      <c r="H35" s="63" t="s">
        <v>37</v>
      </c>
      <c r="I35" s="64"/>
      <c r="J35" s="69"/>
      <c r="K35" s="69"/>
      <c r="L35" s="69"/>
      <c r="M35" s="69"/>
      <c r="N35" s="69"/>
      <c r="O35" s="69"/>
      <c r="P35" s="69"/>
    </row>
    <row r="36" spans="8:17" x14ac:dyDescent="0.25">
      <c r="I36" s="63"/>
    </row>
    <row r="38" spans="8:17" ht="15.75" x14ac:dyDescent="0.25">
      <c r="H38" t="s">
        <v>38</v>
      </c>
      <c r="I38" s="97" t="s">
        <v>40</v>
      </c>
      <c r="J38" s="98"/>
      <c r="L38" t="s">
        <v>39</v>
      </c>
      <c r="N38" s="103" t="s">
        <v>77</v>
      </c>
      <c r="O38" s="103"/>
      <c r="P38" s="103"/>
      <c r="Q38" s="103"/>
    </row>
    <row r="40" spans="8:17" ht="15.75" x14ac:dyDescent="0.25">
      <c r="H40" t="s">
        <v>75</v>
      </c>
      <c r="I40" s="97" t="s">
        <v>40</v>
      </c>
      <c r="J40" s="98"/>
      <c r="L40" t="s">
        <v>75</v>
      </c>
      <c r="N40" s="103" t="s">
        <v>77</v>
      </c>
      <c r="O40" s="103"/>
      <c r="P40" s="103"/>
      <c r="Q40" s="103"/>
    </row>
    <row r="42" spans="8:17" ht="15.75" x14ac:dyDescent="0.25">
      <c r="H42" t="s">
        <v>76</v>
      </c>
      <c r="I42" s="93"/>
      <c r="J42" s="94"/>
      <c r="K42" s="70"/>
      <c r="L42" t="s">
        <v>76</v>
      </c>
      <c r="N42" s="104"/>
      <c r="O42" s="105"/>
      <c r="P42" s="105"/>
      <c r="Q42" s="106"/>
    </row>
    <row r="46" spans="8:17" ht="15.75" x14ac:dyDescent="0.25">
      <c r="H46" s="38"/>
    </row>
    <row r="47" spans="8:17" x14ac:dyDescent="0.25">
      <c r="H47" t="s">
        <v>83</v>
      </c>
    </row>
    <row r="48" spans="8:17" x14ac:dyDescent="0.25">
      <c r="K48" s="70"/>
      <c r="L48" s="70"/>
      <c r="M48" s="70"/>
    </row>
    <row r="49" spans="8:13" x14ac:dyDescent="0.25">
      <c r="H49" t="s">
        <v>82</v>
      </c>
      <c r="I49" s="92" t="s">
        <v>78</v>
      </c>
      <c r="J49" s="92"/>
      <c r="K49" s="71"/>
      <c r="L49" s="70"/>
      <c r="M49" s="70"/>
    </row>
    <row r="51" spans="8:13" x14ac:dyDescent="0.25">
      <c r="H51" t="s">
        <v>75</v>
      </c>
      <c r="I51" s="92" t="s">
        <v>78</v>
      </c>
      <c r="J51" s="92"/>
      <c r="K51" s="71"/>
    </row>
    <row r="53" spans="8:13" x14ac:dyDescent="0.25">
      <c r="H53" t="s">
        <v>76</v>
      </c>
      <c r="I53" s="93"/>
      <c r="J53" s="94"/>
      <c r="K53" s="71"/>
    </row>
  </sheetData>
  <sheetProtection algorithmName="SHA-512" hashValue="qktZ4mNLcTKjsJUpxF5huPxDp8kOZ1scmYYbSi85PH33tb5GyoDTAibdYXutj0cQJT6uazTY2PC1tMA3x2EQMg==" saltValue="+QAq4g0GQOW639XZ+k9Rvg==" spinCount="100000" sheet="1" selectLockedCells="1"/>
  <protectedRanges>
    <protectedRange algorithmName="SHA-512" hashValue="QnvN7syf4+QPVKmfkBFclzLOy/vXoVprI/YbTtd7h+qYwAToj/KPFmQGqXJNJ6wrVgXWV65VzXM5jOSUpCvQgQ==" saltValue="AXqUDgLJxSrNvGIR+3eNAA==" spinCount="100000" sqref="H21:I21 P21 H22:P30" name="Range1"/>
  </protectedRanges>
  <dataConsolidate/>
  <mergeCells count="16">
    <mergeCell ref="J11:O11"/>
    <mergeCell ref="I49:J49"/>
    <mergeCell ref="I53:J53"/>
    <mergeCell ref="I51:J51"/>
    <mergeCell ref="I3:J3"/>
    <mergeCell ref="I38:J38"/>
    <mergeCell ref="I40:J40"/>
    <mergeCell ref="I42:J42"/>
    <mergeCell ref="J22:N22"/>
    <mergeCell ref="H19:I19"/>
    <mergeCell ref="H30:I30"/>
    <mergeCell ref="I4:J4"/>
    <mergeCell ref="N7:Q7"/>
    <mergeCell ref="N38:Q38"/>
    <mergeCell ref="N40:Q40"/>
    <mergeCell ref="N42:Q42"/>
  </mergeCells>
  <conditionalFormatting sqref="J18:O18">
    <cfRule type="cellIs" dxfId="5" priority="10" operator="greaterThan">
      <formula>0</formula>
    </cfRule>
  </conditionalFormatting>
  <conditionalFormatting sqref="K13:K17">
    <cfRule type="expression" dxfId="4" priority="5">
      <formula>$E$5&lt;2</formula>
    </cfRule>
  </conditionalFormatting>
  <conditionalFormatting sqref="L13:L17">
    <cfRule type="expression" dxfId="3" priority="4">
      <formula>$E$5&lt;3</formula>
    </cfRule>
  </conditionalFormatting>
  <conditionalFormatting sqref="M13:M17">
    <cfRule type="expression" dxfId="2" priority="3">
      <formula>$E$5&lt;4</formula>
    </cfRule>
  </conditionalFormatting>
  <conditionalFormatting sqref="N13:N17">
    <cfRule type="expression" dxfId="1" priority="2">
      <formula>$E$5&lt;5</formula>
    </cfRule>
  </conditionalFormatting>
  <conditionalFormatting sqref="O13:O17">
    <cfRule type="expression" dxfId="0" priority="1">
      <formula>$E$5&lt;6</formula>
    </cfRule>
  </conditionalFormatting>
  <dataValidations count="2">
    <dataValidation allowBlank="1" showInputMessage="1" showErrorMessage="1" promptTitle="Välj!" sqref="C15" xr:uid="{00000000-0002-0000-0000-000000000000}"/>
    <dataValidation type="list" allowBlank="1" showErrorMessage="1" sqref="I3:J3" xr:uid="{00000000-0002-0000-0000-000001000000}">
      <formula1>$E$11:$E$15</formula1>
    </dataValidation>
  </dataValidations>
  <hyperlinks>
    <hyperlink ref="O2" r:id="rId1" display="Doktorandstegen från 2022-10-01" xr:uid="{00000000-0004-0000-0000-000000000000}"/>
  </hyperlinks>
  <pageMargins left="0.70866141732283472" right="0" top="0.74803149606299213" bottom="0.35433070866141736" header="0.31496062992125984" footer="0.31496062992125984"/>
  <pageSetup paperSize="9" scale="77" orientation="portrait" r:id="rId2"/>
  <ignoredErrors>
    <ignoredError sqref="J28:K28 L28:O28"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53" r:id="rId5" name="Check Box 29">
              <controlPr locked="0" defaultSize="0" autoFill="0" autoLine="0" autoPict="0">
                <anchor moveWithCells="1">
                  <from>
                    <xdr:col>16</xdr:col>
                    <xdr:colOff>0</xdr:colOff>
                    <xdr:row>12</xdr:row>
                    <xdr:rowOff>0</xdr:rowOff>
                  </from>
                  <to>
                    <xdr:col>17</xdr:col>
                    <xdr:colOff>0</xdr:colOff>
                    <xdr:row>12</xdr:row>
                    <xdr:rowOff>219075</xdr:rowOff>
                  </to>
                </anchor>
              </controlPr>
            </control>
          </mc:Choice>
        </mc:AlternateContent>
        <mc:AlternateContent xmlns:mc="http://schemas.openxmlformats.org/markup-compatibility/2006">
          <mc:Choice Requires="x14">
            <control shapeId="1054" r:id="rId6" name="Check Box 30">
              <controlPr locked="0" defaultSize="0" autoFill="0" autoLine="0" autoPict="0">
                <anchor moveWithCells="1">
                  <from>
                    <xdr:col>16</xdr:col>
                    <xdr:colOff>0</xdr:colOff>
                    <xdr:row>13</xdr:row>
                    <xdr:rowOff>0</xdr:rowOff>
                  </from>
                  <to>
                    <xdr:col>17</xdr:col>
                    <xdr:colOff>0</xdr:colOff>
                    <xdr:row>14</xdr:row>
                    <xdr:rowOff>0</xdr:rowOff>
                  </to>
                </anchor>
              </controlPr>
            </control>
          </mc:Choice>
        </mc:AlternateContent>
        <mc:AlternateContent xmlns:mc="http://schemas.openxmlformats.org/markup-compatibility/2006">
          <mc:Choice Requires="x14">
            <control shapeId="1056" r:id="rId7" name="Check Box 32">
              <controlPr locked="0" defaultSize="0" autoFill="0" autoLine="0" autoPict="0">
                <anchor moveWithCells="1">
                  <from>
                    <xdr:col>16</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1058" r:id="rId8" name="Check Box 34">
              <controlPr locked="0" defaultSize="0" autoFill="0" autoLine="0" autoPict="0">
                <anchor moveWithCells="1">
                  <from>
                    <xdr:col>16</xdr:col>
                    <xdr:colOff>0</xdr:colOff>
                    <xdr:row>15</xdr:row>
                    <xdr:rowOff>0</xdr:rowOff>
                  </from>
                  <to>
                    <xdr:col>17</xdr:col>
                    <xdr:colOff>0</xdr:colOff>
                    <xdr:row>16</xdr:row>
                    <xdr:rowOff>0</xdr:rowOff>
                  </to>
                </anchor>
              </controlPr>
            </control>
          </mc:Choice>
        </mc:AlternateContent>
        <mc:AlternateContent xmlns:mc="http://schemas.openxmlformats.org/markup-compatibility/2006">
          <mc:Choice Requires="x14">
            <control shapeId="1060" r:id="rId9" name="Check Box 36">
              <controlPr locked="0" defaultSize="0" autoFill="0" autoLine="0" autoPict="0">
                <anchor moveWithCells="1">
                  <from>
                    <xdr:col>16</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1061" r:id="rId10" name="Check Box 37">
              <controlPr locked="0" defaultSize="0" autoFill="0" autoLine="0" autoPict="0">
                <anchor moveWithCells="1">
                  <from>
                    <xdr:col>16</xdr:col>
                    <xdr:colOff>0</xdr:colOff>
                    <xdr:row>17</xdr:row>
                    <xdr:rowOff>0</xdr:rowOff>
                  </from>
                  <to>
                    <xdr:col>17</xdr:col>
                    <xdr:colOff>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'Underlag - låst'!$A$3:$A$9</xm:f>
          </x14:formula1>
          <xm:sqref>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O24"/>
  <sheetViews>
    <sheetView zoomScale="110" zoomScaleNormal="110" workbookViewId="0">
      <selection activeCell="G22" sqref="G22"/>
    </sheetView>
  </sheetViews>
  <sheetFormatPr defaultRowHeight="15" x14ac:dyDescent="0.25"/>
  <cols>
    <col min="1" max="1" width="31" customWidth="1"/>
    <col min="3" max="3" width="10.42578125" customWidth="1"/>
    <col min="5" max="6" width="10.5703125" customWidth="1"/>
    <col min="8" max="8" width="9.42578125" customWidth="1"/>
  </cols>
  <sheetData>
    <row r="3" spans="1:8" x14ac:dyDescent="0.25">
      <c r="A3" t="s">
        <v>3</v>
      </c>
      <c r="B3" t="s">
        <v>31</v>
      </c>
      <c r="C3" t="s">
        <v>32</v>
      </c>
      <c r="D3" t="s">
        <v>6</v>
      </c>
      <c r="E3" t="s">
        <v>30</v>
      </c>
      <c r="F3" t="s">
        <v>33</v>
      </c>
    </row>
    <row r="4" spans="1:8" ht="15.75" thickBot="1" x14ac:dyDescent="0.3">
      <c r="A4" s="2" t="s">
        <v>85</v>
      </c>
      <c r="B4" s="1">
        <v>46.27</v>
      </c>
      <c r="C4" s="1">
        <v>96.18</v>
      </c>
      <c r="D4" s="87">
        <v>12.2</v>
      </c>
      <c r="E4" s="1">
        <f>59.1+Table5[[#This Row],[OH - FOFU]]+Table5[[#This Row],[Lokal-inst]]</f>
        <v>117.57000000000001</v>
      </c>
      <c r="F4" s="1">
        <f>59.1+Table5[[#This Row],[OH-GRU]]+Table5[[#This Row],[Lokal-inst]]</f>
        <v>167.48</v>
      </c>
    </row>
    <row r="5" spans="1:8" ht="15.75" thickBot="1" x14ac:dyDescent="0.3">
      <c r="A5" s="2" t="s">
        <v>10</v>
      </c>
      <c r="B5" s="1">
        <v>42.25</v>
      </c>
      <c r="C5" s="1">
        <v>86.4</v>
      </c>
      <c r="D5" s="87">
        <v>16</v>
      </c>
      <c r="E5" s="1">
        <f>59.1+Table5[[#This Row],[OH - FOFU]]+Table5[[#This Row],[Lokal-inst]]</f>
        <v>117.35</v>
      </c>
      <c r="F5" s="1">
        <f>59.1+Table5[[#This Row],[OH-GRU]]+Table5[[#This Row],[Lokal-inst]]</f>
        <v>161.5</v>
      </c>
    </row>
    <row r="6" spans="1:8" ht="15.75" thickBot="1" x14ac:dyDescent="0.3">
      <c r="A6" s="2" t="s">
        <v>11</v>
      </c>
      <c r="B6" s="1">
        <v>41.05</v>
      </c>
      <c r="C6" s="1">
        <v>83.39</v>
      </c>
      <c r="D6" s="87">
        <v>15.6</v>
      </c>
      <c r="E6" s="1">
        <f>59.1+Table5[[#This Row],[OH - FOFU]]+Table5[[#This Row],[Lokal-inst]]</f>
        <v>115.75</v>
      </c>
      <c r="F6" s="1">
        <f>59.1+Table5[[#This Row],[OH-GRU]]+Table5[[#This Row],[Lokal-inst]]</f>
        <v>158.09</v>
      </c>
    </row>
    <row r="7" spans="1:8" ht="15.75" thickBot="1" x14ac:dyDescent="0.3">
      <c r="A7" s="2" t="s">
        <v>12</v>
      </c>
      <c r="B7" s="1">
        <v>43.06</v>
      </c>
      <c r="C7" s="1">
        <v>87.75</v>
      </c>
      <c r="D7" s="87">
        <v>11.8</v>
      </c>
      <c r="E7" s="1">
        <f>59.1+Table5[[#This Row],[OH - FOFU]]+Table5[[#This Row],[Lokal-inst]]</f>
        <v>113.96</v>
      </c>
      <c r="F7" s="1">
        <f>59.1+Table5[[#This Row],[OH-GRU]]+Table5[[#This Row],[Lokal-inst]]</f>
        <v>158.65</v>
      </c>
    </row>
    <row r="8" spans="1:8" ht="15.75" thickBot="1" x14ac:dyDescent="0.3">
      <c r="A8" s="2" t="s">
        <v>13</v>
      </c>
      <c r="B8" s="1">
        <v>41.8</v>
      </c>
      <c r="C8" s="1">
        <v>110.33</v>
      </c>
      <c r="D8" s="87">
        <v>19.2</v>
      </c>
      <c r="E8" s="1">
        <f>59.1+Table5[[#This Row],[OH - FOFU]]+Table5[[#This Row],[Lokal-inst]]</f>
        <v>120.10000000000001</v>
      </c>
      <c r="F8" s="1">
        <f>59.1+Table5[[#This Row],[OH-GRU]]+Table5[[#This Row],[Lokal-inst]]</f>
        <v>188.63</v>
      </c>
    </row>
    <row r="9" spans="1:8" ht="12.6" customHeight="1" thickBot="1" x14ac:dyDescent="0.3">
      <c r="A9" s="2" t="s">
        <v>5</v>
      </c>
      <c r="B9" s="1">
        <v>44.43</v>
      </c>
      <c r="C9" s="1">
        <v>97.81</v>
      </c>
      <c r="D9" s="87">
        <v>12.9</v>
      </c>
      <c r="E9" s="1">
        <f>59.1+Table5[[#This Row],[OH - FOFU]]+Table5[[#This Row],[Lokal-inst]]</f>
        <v>116.43</v>
      </c>
      <c r="F9" s="1">
        <f>59.1+Table5[[#This Row],[OH-GRU]]+Table5[[#This Row],[Lokal-inst]]</f>
        <v>169.81</v>
      </c>
    </row>
    <row r="11" spans="1:8" x14ac:dyDescent="0.25">
      <c r="A11" t="s">
        <v>145</v>
      </c>
      <c r="B11" s="47">
        <f>Kalkyl!J10</f>
        <v>1900</v>
      </c>
      <c r="C11" s="47">
        <f>B11+1</f>
        <v>1901</v>
      </c>
      <c r="D11" s="47">
        <f t="shared" ref="D11:G11" si="0">C11+1</f>
        <v>1902</v>
      </c>
      <c r="E11" s="47">
        <f t="shared" si="0"/>
        <v>1903</v>
      </c>
      <c r="F11" s="47">
        <f t="shared" si="0"/>
        <v>1904</v>
      </c>
      <c r="G11" s="47">
        <f t="shared" si="0"/>
        <v>1905</v>
      </c>
      <c r="H11" s="47"/>
    </row>
    <row r="12" spans="1:8" x14ac:dyDescent="0.25">
      <c r="B12">
        <v>1</v>
      </c>
      <c r="C12">
        <f>C22/$B22*1.02</f>
        <v>1.0391250000000001</v>
      </c>
      <c r="D12">
        <f>D22/$B22*1.02^2</f>
        <v>1.1379375</v>
      </c>
      <c r="E12">
        <f>E22/$B22*1.02^3</f>
        <v>1.197175275</v>
      </c>
      <c r="F12">
        <f>F22/$B22*1.02^4</f>
        <v>1.2211187805000001</v>
      </c>
      <c r="G12">
        <f>G22/$B22*1.02^5</f>
        <v>1.24554115611</v>
      </c>
    </row>
    <row r="14" spans="1:8" x14ac:dyDescent="0.25">
      <c r="A14" t="s">
        <v>74</v>
      </c>
      <c r="B14" s="23">
        <v>2020</v>
      </c>
      <c r="C14" s="23">
        <v>2021</v>
      </c>
      <c r="D14" s="23">
        <v>2022</v>
      </c>
      <c r="E14" s="23">
        <v>2023</v>
      </c>
      <c r="F14" s="23">
        <v>2024</v>
      </c>
      <c r="G14" s="23">
        <v>2025</v>
      </c>
      <c r="H14" s="23">
        <v>2026</v>
      </c>
    </row>
    <row r="15" spans="1:8" x14ac:dyDescent="0.25">
      <c r="B15">
        <v>1</v>
      </c>
      <c r="C15">
        <v>1.02</v>
      </c>
      <c r="D15">
        <v>1.0404</v>
      </c>
      <c r="E15">
        <v>1.0612079999999999</v>
      </c>
      <c r="F15">
        <v>1.08243216</v>
      </c>
      <c r="G15">
        <f>F15*1.02</f>
        <v>1.1040808032</v>
      </c>
      <c r="H15">
        <f>G15*1.02</f>
        <v>1.1261624192640001</v>
      </c>
    </row>
    <row r="17" spans="1:15" x14ac:dyDescent="0.25">
      <c r="A17" s="83" t="s">
        <v>48</v>
      </c>
      <c r="B17" s="83" t="s">
        <v>30</v>
      </c>
      <c r="C17" s="83" t="s">
        <v>33</v>
      </c>
      <c r="D17" s="83" t="s">
        <v>159</v>
      </c>
      <c r="E17" s="83" t="s">
        <v>160</v>
      </c>
      <c r="F17" s="83" t="s">
        <v>161</v>
      </c>
      <c r="K17">
        <v>1</v>
      </c>
      <c r="L17">
        <v>1.0369999999999999</v>
      </c>
      <c r="M17">
        <v>1.1444399999999999</v>
      </c>
      <c r="N17">
        <v>1.2203892000000001</v>
      </c>
      <c r="O17">
        <v>1.2447969839999999</v>
      </c>
    </row>
    <row r="18" spans="1:15" x14ac:dyDescent="0.25">
      <c r="A18" s="83" t="str">
        <f>VLOOKUP(Kalkyl!I4,Table5[#All],1,FALSE)</f>
        <v>Välj Institution</v>
      </c>
      <c r="B18" s="83" t="str">
        <f>VLOOKUP(Kalkyl!I4,Table5[#All],2,FALSE)</f>
        <v>OH - FOFU</v>
      </c>
      <c r="C18" s="83" t="str">
        <f>VLOOKUP(Kalkyl!I4,Table5[#All],3,FALSE)</f>
        <v>OH-GRU</v>
      </c>
      <c r="D18" s="83" t="str">
        <f>VLOOKUP(Kalkyl!I4,Table5[#All],4,FALSE)</f>
        <v>Lokal-inst</v>
      </c>
      <c r="E18" s="83" t="e">
        <f>57.1+B18+D18+(B18+D18)*0.571</f>
        <v>#VALUE!</v>
      </c>
      <c r="F18" s="83" t="e">
        <f>57.1+C18+D18+(C18+D18)*0.571</f>
        <v>#VALUE!</v>
      </c>
    </row>
    <row r="21" spans="1:15" ht="42.75" x14ac:dyDescent="0.25">
      <c r="A21" s="24" t="s">
        <v>162</v>
      </c>
      <c r="B21" s="82" t="s">
        <v>141</v>
      </c>
      <c r="C21" s="82" t="s">
        <v>142</v>
      </c>
      <c r="D21" s="82" t="s">
        <v>143</v>
      </c>
      <c r="E21" s="82" t="s">
        <v>144</v>
      </c>
      <c r="F21" s="82" t="s">
        <v>144</v>
      </c>
      <c r="G21" s="82" t="s">
        <v>144</v>
      </c>
      <c r="K21" s="86"/>
    </row>
    <row r="22" spans="1:15" x14ac:dyDescent="0.25">
      <c r="A22" s="24"/>
      <c r="B22" s="86">
        <v>32000</v>
      </c>
      <c r="C22" s="86">
        <v>32600</v>
      </c>
      <c r="D22" s="86">
        <v>35000</v>
      </c>
      <c r="E22" s="86">
        <v>36100</v>
      </c>
      <c r="F22" s="86">
        <v>36100</v>
      </c>
      <c r="G22" s="86">
        <v>36100</v>
      </c>
      <c r="K22" s="86"/>
    </row>
    <row r="23" spans="1:15" x14ac:dyDescent="0.25">
      <c r="C23">
        <f>C22*C12</f>
        <v>33875.475000000006</v>
      </c>
      <c r="D23">
        <f t="shared" ref="D23:G23" si="1">D22*D12</f>
        <v>39827.8125</v>
      </c>
      <c r="E23">
        <f t="shared" si="1"/>
        <v>43218.027427499997</v>
      </c>
      <c r="F23">
        <f t="shared" si="1"/>
        <v>44082.387976050006</v>
      </c>
      <c r="G23">
        <f t="shared" si="1"/>
        <v>44964.035735571</v>
      </c>
      <c r="K23" s="86"/>
    </row>
    <row r="24" spans="1:15" x14ac:dyDescent="0.25">
      <c r="C24">
        <f>C23/$B22</f>
        <v>1.0586085937500003</v>
      </c>
      <c r="D24">
        <f t="shared" ref="D24:G24" si="2">D23/$B22</f>
        <v>1.244619140625</v>
      </c>
      <c r="E24">
        <f t="shared" si="2"/>
        <v>1.3505633571093749</v>
      </c>
      <c r="F24">
        <f t="shared" si="2"/>
        <v>1.3775746242515627</v>
      </c>
      <c r="G24">
        <f t="shared" si="2"/>
        <v>1.4051261167365938</v>
      </c>
      <c r="K24" s="86"/>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1"/>
  <sheetViews>
    <sheetView workbookViewId="0">
      <selection activeCell="D21" sqref="D21"/>
    </sheetView>
  </sheetViews>
  <sheetFormatPr defaultRowHeight="15" x14ac:dyDescent="0.25"/>
  <cols>
    <col min="2" max="10" width="10.5703125" customWidth="1"/>
  </cols>
  <sheetData>
    <row r="1" spans="1:10" x14ac:dyDescent="0.25">
      <c r="A1" s="25" t="s">
        <v>49</v>
      </c>
    </row>
    <row r="2" spans="1:10" x14ac:dyDescent="0.25">
      <c r="A2" s="25" t="s">
        <v>50</v>
      </c>
    </row>
    <row r="3" spans="1:10" x14ac:dyDescent="0.25">
      <c r="A3" s="25" t="s">
        <v>30</v>
      </c>
    </row>
    <row r="4" spans="1:10" x14ac:dyDescent="0.25">
      <c r="A4" s="107" t="s">
        <v>51</v>
      </c>
    </row>
    <row r="5" spans="1:10" ht="15.75" thickBot="1" x14ac:dyDescent="0.3">
      <c r="A5" s="98"/>
    </row>
    <row r="6" spans="1:10" ht="15.75" thickBot="1" x14ac:dyDescent="0.3">
      <c r="A6" s="26" t="s">
        <v>52</v>
      </c>
      <c r="B6" s="27" t="s">
        <v>53</v>
      </c>
      <c r="C6" s="27" t="s">
        <v>54</v>
      </c>
      <c r="D6" s="27" t="s">
        <v>55</v>
      </c>
      <c r="E6" s="27" t="s">
        <v>56</v>
      </c>
      <c r="F6" s="27" t="s">
        <v>57</v>
      </c>
      <c r="G6" s="27" t="s">
        <v>58</v>
      </c>
      <c r="H6" s="27" t="s">
        <v>59</v>
      </c>
      <c r="I6" s="27" t="s">
        <v>60</v>
      </c>
      <c r="J6" s="28" t="s">
        <v>7</v>
      </c>
    </row>
    <row r="7" spans="1:10" ht="15.75" thickBot="1" x14ac:dyDescent="0.3">
      <c r="A7" s="2" t="s">
        <v>61</v>
      </c>
      <c r="B7" s="3">
        <v>-20227375.449999999</v>
      </c>
      <c r="C7" s="3">
        <v>-3852916.91</v>
      </c>
      <c r="D7" s="3">
        <v>-19793816.84</v>
      </c>
      <c r="E7" s="3">
        <v>-54857133.609999999</v>
      </c>
      <c r="F7" s="3">
        <v>-30577347.699999999</v>
      </c>
      <c r="G7" s="3">
        <v>-16095611.07</v>
      </c>
      <c r="H7" s="3">
        <v>-39869165.140000001</v>
      </c>
      <c r="I7" s="3">
        <v>-46573201.210000001</v>
      </c>
      <c r="J7" s="5">
        <v>-231846567.93000001</v>
      </c>
    </row>
    <row r="8" spans="1:10" ht="15.75" thickBot="1" x14ac:dyDescent="0.3">
      <c r="A8" s="2" t="s">
        <v>62</v>
      </c>
      <c r="B8" s="3">
        <v>-6345801.0700000003</v>
      </c>
      <c r="C8" s="3">
        <v>-462994.25</v>
      </c>
      <c r="D8" s="3">
        <v>-2617345.7400000002</v>
      </c>
      <c r="E8" s="3">
        <v>-10337688.380000001</v>
      </c>
      <c r="F8" s="3">
        <v>-4509407.3</v>
      </c>
      <c r="G8" s="3">
        <v>-2153195.4</v>
      </c>
      <c r="H8" s="3">
        <v>-5178089.74</v>
      </c>
      <c r="I8" s="3">
        <v>-7908710.1399999997</v>
      </c>
      <c r="J8" s="5">
        <v>-39513232.020000003</v>
      </c>
    </row>
    <row r="9" spans="1:10" ht="15.75" thickBot="1" x14ac:dyDescent="0.3">
      <c r="A9" s="2" t="s">
        <v>63</v>
      </c>
      <c r="B9" s="3">
        <v>-560476.72</v>
      </c>
      <c r="C9" s="3">
        <v>-636242.17000000004</v>
      </c>
      <c r="D9" s="3">
        <v>-895013.13</v>
      </c>
      <c r="E9" s="3">
        <v>-3493169.17</v>
      </c>
      <c r="F9" s="3">
        <v>-2691625.42</v>
      </c>
      <c r="G9" s="3">
        <v>-1668407.09</v>
      </c>
      <c r="H9" s="3">
        <v>-4025338.08</v>
      </c>
      <c r="I9" s="3">
        <v>-3126833.86</v>
      </c>
      <c r="J9" s="5">
        <v>-17097105.640000001</v>
      </c>
    </row>
    <row r="10" spans="1:10" ht="15.75" thickBot="1" x14ac:dyDescent="0.3">
      <c r="A10" s="2" t="s">
        <v>64</v>
      </c>
      <c r="B10" s="3">
        <v>-427938.99</v>
      </c>
      <c r="C10" s="3">
        <v>-75503.7</v>
      </c>
      <c r="D10" s="3">
        <v>-237774.5</v>
      </c>
      <c r="E10" s="3">
        <v>-495809.94</v>
      </c>
      <c r="F10" s="3">
        <v>-395148.96</v>
      </c>
      <c r="G10" s="3">
        <v>-98022.37</v>
      </c>
      <c r="H10" s="3">
        <v>-446316.58</v>
      </c>
      <c r="I10" s="3">
        <v>-617364.79</v>
      </c>
      <c r="J10" s="5">
        <v>-2793879.83</v>
      </c>
    </row>
    <row r="11" spans="1:10" ht="15.75" thickBot="1" x14ac:dyDescent="0.3">
      <c r="A11" s="2" t="s">
        <v>65</v>
      </c>
      <c r="B11" s="3">
        <v>-1099529.51</v>
      </c>
      <c r="C11" s="3">
        <v>-10543567.91</v>
      </c>
      <c r="D11" s="3">
        <v>-4206339.18</v>
      </c>
      <c r="E11" s="3">
        <v>-5250176.57</v>
      </c>
      <c r="F11" s="3">
        <v>-5544133.5700000003</v>
      </c>
      <c r="G11" s="3">
        <v>-2698953.74</v>
      </c>
      <c r="H11" s="3">
        <v>-1884398.51</v>
      </c>
      <c r="I11" s="3">
        <v>-6802781.4100000001</v>
      </c>
      <c r="J11" s="5">
        <v>-38029880.399999999</v>
      </c>
    </row>
    <row r="12" spans="1:10" ht="15.75" thickBot="1" x14ac:dyDescent="0.3">
      <c r="A12" s="2" t="s">
        <v>66</v>
      </c>
      <c r="B12" s="3">
        <v>-3707739.79</v>
      </c>
      <c r="C12" s="3">
        <v>-1396927.36</v>
      </c>
      <c r="D12" s="3">
        <v>-2015912.56</v>
      </c>
      <c r="E12" s="3">
        <v>-4547516.3499999996</v>
      </c>
      <c r="F12" s="3">
        <v>-2949948.72</v>
      </c>
      <c r="G12" s="3">
        <v>-933859.52</v>
      </c>
      <c r="H12" s="3">
        <v>-1815473.39</v>
      </c>
      <c r="I12" s="3">
        <v>-3907712.66</v>
      </c>
      <c r="J12" s="5">
        <v>-21275090.350000001</v>
      </c>
    </row>
    <row r="13" spans="1:10" ht="15.75" thickBot="1" x14ac:dyDescent="0.3">
      <c r="A13" s="2" t="s">
        <v>67</v>
      </c>
      <c r="B13" s="3">
        <v>-207180.29</v>
      </c>
      <c r="C13" s="3">
        <v>-869290.44</v>
      </c>
      <c r="D13" s="3">
        <v>-4388074.58</v>
      </c>
      <c r="E13" s="3">
        <v>-12122473.73</v>
      </c>
      <c r="F13" s="3">
        <v>-6967682.8700000001</v>
      </c>
      <c r="G13" s="3">
        <v>-3446022.23</v>
      </c>
      <c r="H13" s="3">
        <v>-9124688.6600000001</v>
      </c>
      <c r="I13" s="3">
        <v>-10478688.92</v>
      </c>
      <c r="J13" s="5">
        <v>-47604101.719999999</v>
      </c>
    </row>
    <row r="14" spans="1:10" ht="15.75" thickBot="1" x14ac:dyDescent="0.3">
      <c r="A14" s="2" t="s">
        <v>68</v>
      </c>
      <c r="B14" s="3">
        <v>22438823.48</v>
      </c>
      <c r="C14" s="3">
        <v>-411451.58</v>
      </c>
      <c r="D14" s="3">
        <v>-2077808.76</v>
      </c>
      <c r="E14" s="3">
        <v>-5737053.8700000001</v>
      </c>
      <c r="F14" s="3">
        <v>-3297660.01</v>
      </c>
      <c r="G14" s="3">
        <v>-1631338.66</v>
      </c>
      <c r="H14" s="3">
        <v>-4320159.7699999996</v>
      </c>
      <c r="I14" s="3">
        <v>-4961355.8499999996</v>
      </c>
      <c r="J14" s="5">
        <v>1994.98</v>
      </c>
    </row>
    <row r="15" spans="1:10" ht="15.75" thickBot="1" x14ac:dyDescent="0.3">
      <c r="A15" s="2" t="s">
        <v>69</v>
      </c>
      <c r="B15" s="29"/>
      <c r="C15" s="29"/>
      <c r="D15" s="3">
        <v>0.02</v>
      </c>
      <c r="E15" s="3">
        <v>-0.04</v>
      </c>
      <c r="F15" s="3">
        <v>-7.0000000000000007E-2</v>
      </c>
      <c r="G15" s="3">
        <v>-0.06</v>
      </c>
      <c r="H15" s="3">
        <v>-31984.720000000001</v>
      </c>
      <c r="I15" s="3">
        <v>31984.32</v>
      </c>
      <c r="J15" s="5">
        <v>-0.55000000000000004</v>
      </c>
    </row>
    <row r="16" spans="1:10" ht="15.75" thickBot="1" x14ac:dyDescent="0.3">
      <c r="A16" s="2" t="s">
        <v>70</v>
      </c>
      <c r="B16" s="3">
        <v>-161949.68</v>
      </c>
      <c r="C16" s="29"/>
      <c r="D16" s="3">
        <v>-509330</v>
      </c>
      <c r="E16" s="3">
        <v>-587348.23</v>
      </c>
      <c r="F16" s="3">
        <v>-232408.58</v>
      </c>
      <c r="G16" s="3">
        <v>-11338.25</v>
      </c>
      <c r="H16" s="3">
        <v>-82463.22</v>
      </c>
      <c r="I16" s="3">
        <v>-965684.61</v>
      </c>
      <c r="J16" s="5">
        <v>-2550522.5699999998</v>
      </c>
    </row>
    <row r="17" spans="1:10" ht="15.75" thickBot="1" x14ac:dyDescent="0.3">
      <c r="A17" s="2" t="s">
        <v>71</v>
      </c>
      <c r="B17" s="3">
        <v>-1118.1300000000001</v>
      </c>
      <c r="C17" s="3">
        <v>-1838.63</v>
      </c>
      <c r="D17" s="3">
        <v>-5799.67</v>
      </c>
      <c r="E17" s="3">
        <v>-34112.629999999997</v>
      </c>
      <c r="F17" s="3">
        <v>-12733.57</v>
      </c>
      <c r="G17" s="3">
        <v>-1911.26</v>
      </c>
      <c r="H17" s="3">
        <v>-9618.8799999999992</v>
      </c>
      <c r="I17" s="3">
        <v>-23794.58</v>
      </c>
      <c r="J17" s="5">
        <v>-90927.35</v>
      </c>
    </row>
    <row r="18" spans="1:10" ht="15.75" thickBot="1" x14ac:dyDescent="0.3">
      <c r="A18" s="4" t="s">
        <v>72</v>
      </c>
      <c r="B18" s="5">
        <v>-10300286.15</v>
      </c>
      <c r="C18" s="5">
        <v>-18250732.949999999</v>
      </c>
      <c r="D18" s="5">
        <v>-36747214.939999998</v>
      </c>
      <c r="E18" s="5">
        <v>-97462482.519999996</v>
      </c>
      <c r="F18" s="5">
        <v>-57178096.770000003</v>
      </c>
      <c r="G18" s="5">
        <v>-28738659.649999999</v>
      </c>
      <c r="H18" s="5">
        <v>-66787696.689999998</v>
      </c>
      <c r="I18" s="5">
        <v>-85334143.709999993</v>
      </c>
      <c r="J18" s="5">
        <v>-400799313.38</v>
      </c>
    </row>
    <row r="19" spans="1:10" x14ac:dyDescent="0.25">
      <c r="A19" s="108">
        <v>43857</v>
      </c>
      <c r="B19" s="98"/>
      <c r="C19" s="98"/>
      <c r="D19" s="98"/>
      <c r="E19" s="109" t="s">
        <v>73</v>
      </c>
      <c r="F19" s="98"/>
      <c r="G19" s="98"/>
      <c r="H19" s="110">
        <v>0.38649305</v>
      </c>
      <c r="I19" s="98"/>
      <c r="J19" s="98"/>
    </row>
    <row r="20" spans="1:10" x14ac:dyDescent="0.25">
      <c r="B20">
        <f>B8/B7</f>
        <v>0.31372340349770889</v>
      </c>
      <c r="C20">
        <f t="shared" ref="C20:J20" si="0">C8/C7</f>
        <v>0.12016720339811325</v>
      </c>
      <c r="D20">
        <f t="shared" si="0"/>
        <v>0.13223047182647368</v>
      </c>
      <c r="E20">
        <f t="shared" si="0"/>
        <v>0.18844747619324256</v>
      </c>
      <c r="F20">
        <f t="shared" si="0"/>
        <v>0.14747542344884282</v>
      </c>
      <c r="G20">
        <f t="shared" si="0"/>
        <v>0.13377531245230317</v>
      </c>
      <c r="H20">
        <f t="shared" si="0"/>
        <v>0.12987705465658014</v>
      </c>
      <c r="I20">
        <f t="shared" si="0"/>
        <v>0.16981246585003643</v>
      </c>
      <c r="J20">
        <f t="shared" si="0"/>
        <v>0.17042836722918403</v>
      </c>
    </row>
    <row r="21" spans="1:10" x14ac:dyDescent="0.25">
      <c r="C21" s="30">
        <f>C20*1.03*100</f>
        <v>12.377221950005666</v>
      </c>
      <c r="D21" s="30">
        <f t="shared" ref="D21:J21" si="1">D20*1.03*100</f>
        <v>13.619738598126791</v>
      </c>
      <c r="E21" s="30">
        <f t="shared" si="1"/>
        <v>19.410090047903985</v>
      </c>
      <c r="F21" s="30">
        <f t="shared" si="1"/>
        <v>15.189968615230812</v>
      </c>
      <c r="G21" s="30">
        <f t="shared" si="1"/>
        <v>13.778857182587229</v>
      </c>
      <c r="H21" s="30">
        <f t="shared" si="1"/>
        <v>13.377336629627756</v>
      </c>
      <c r="I21" s="30">
        <f t="shared" si="1"/>
        <v>17.490683982553755</v>
      </c>
      <c r="J21" s="30">
        <f t="shared" si="1"/>
        <v>17.554121824605957</v>
      </c>
    </row>
  </sheetData>
  <mergeCells count="4">
    <mergeCell ref="A4:A5"/>
    <mergeCell ref="A19:D19"/>
    <mergeCell ref="E19:G19"/>
    <mergeCell ref="H19:J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13"/>
  <sheetViews>
    <sheetView workbookViewId="0">
      <selection activeCell="G15" sqref="G15"/>
    </sheetView>
  </sheetViews>
  <sheetFormatPr defaultRowHeight="15" x14ac:dyDescent="0.25"/>
  <sheetData>
    <row r="1" spans="1:15" x14ac:dyDescent="0.25">
      <c r="A1" s="6"/>
      <c r="B1" s="111"/>
      <c r="C1" s="112"/>
      <c r="D1" s="111"/>
      <c r="E1" s="112"/>
      <c r="F1" s="111"/>
      <c r="G1" s="112"/>
      <c r="H1" s="111"/>
      <c r="I1" s="112"/>
      <c r="J1" s="111"/>
      <c r="K1" s="112"/>
      <c r="L1" s="111"/>
      <c r="M1" s="112"/>
      <c r="N1" s="111"/>
      <c r="O1" s="112"/>
    </row>
    <row r="2" spans="1:15" x14ac:dyDescent="0.25">
      <c r="A2" s="7"/>
      <c r="B2" s="8"/>
      <c r="C2" s="8"/>
      <c r="D2" s="8"/>
      <c r="E2" s="8"/>
      <c r="F2" s="8"/>
      <c r="G2" s="8"/>
      <c r="H2" s="8"/>
      <c r="I2" s="8"/>
      <c r="J2" s="8"/>
      <c r="K2" s="8"/>
      <c r="L2" s="8"/>
      <c r="M2" s="8"/>
      <c r="N2" s="8"/>
      <c r="O2" s="8"/>
    </row>
    <row r="3" spans="1:15" x14ac:dyDescent="0.25">
      <c r="A3" s="9"/>
      <c r="B3" s="10"/>
      <c r="C3" s="10"/>
      <c r="D3" s="10"/>
      <c r="E3" s="10"/>
      <c r="F3" s="10"/>
      <c r="G3" s="10"/>
      <c r="H3" s="10"/>
      <c r="I3" s="10"/>
      <c r="J3" s="10"/>
      <c r="K3" s="10"/>
      <c r="L3" s="10"/>
      <c r="M3" s="10"/>
      <c r="N3" s="10"/>
      <c r="O3" s="10"/>
    </row>
    <row r="4" spans="1:15" x14ac:dyDescent="0.25">
      <c r="A4" s="9"/>
      <c r="B4" s="10"/>
      <c r="C4" s="10"/>
      <c r="D4" s="10"/>
      <c r="E4" s="10"/>
      <c r="F4" s="10"/>
      <c r="G4" s="10"/>
      <c r="H4" s="10"/>
      <c r="I4" s="10"/>
      <c r="J4" s="10"/>
      <c r="K4" s="10"/>
      <c r="L4" s="10"/>
      <c r="M4" s="10"/>
      <c r="N4" s="10"/>
      <c r="O4" s="10"/>
    </row>
    <row r="5" spans="1:15" x14ac:dyDescent="0.25">
      <c r="A5" s="11"/>
      <c r="B5" s="12"/>
      <c r="C5" s="12"/>
      <c r="D5" s="12"/>
      <c r="E5" s="12"/>
      <c r="F5" s="12"/>
      <c r="G5" s="12"/>
      <c r="H5" s="12"/>
      <c r="I5" s="12"/>
      <c r="J5" s="12"/>
      <c r="K5" s="12"/>
      <c r="L5" s="12"/>
      <c r="M5" s="12"/>
      <c r="N5" s="12"/>
      <c r="O5" s="12"/>
    </row>
    <row r="6" spans="1:15" x14ac:dyDescent="0.25">
      <c r="A6" s="11"/>
      <c r="B6" s="12"/>
      <c r="C6" s="12"/>
      <c r="D6" s="12"/>
      <c r="E6" s="12"/>
      <c r="F6" s="12"/>
      <c r="G6" s="12"/>
      <c r="H6" s="12"/>
      <c r="I6" s="12"/>
      <c r="J6" s="12"/>
      <c r="K6" s="12"/>
      <c r="L6" s="12"/>
      <c r="M6" s="12"/>
      <c r="N6" s="12"/>
      <c r="O6" s="12"/>
    </row>
    <row r="7" spans="1:15" x14ac:dyDescent="0.25">
      <c r="A7" s="13"/>
      <c r="B7" s="12"/>
      <c r="C7" s="12"/>
      <c r="D7" s="12"/>
      <c r="E7" s="12"/>
      <c r="F7" s="12"/>
      <c r="G7" s="12"/>
      <c r="H7" s="12"/>
      <c r="I7" s="12"/>
      <c r="J7" s="12"/>
      <c r="K7" s="12"/>
      <c r="L7" s="12"/>
      <c r="M7" s="12"/>
      <c r="N7" s="12"/>
      <c r="O7" s="12"/>
    </row>
    <row r="8" spans="1:15" ht="15.75" thickBot="1" x14ac:dyDescent="0.3">
      <c r="A8" s="14"/>
      <c r="B8" s="15"/>
      <c r="C8" s="15"/>
      <c r="D8" s="15"/>
      <c r="E8" s="15"/>
      <c r="F8" s="15"/>
      <c r="G8" s="15"/>
      <c r="H8" s="15"/>
      <c r="I8" s="15"/>
      <c r="J8" s="15"/>
      <c r="K8" s="15"/>
      <c r="L8" s="15"/>
      <c r="M8" s="15"/>
      <c r="N8" s="15"/>
      <c r="O8" s="15"/>
    </row>
    <row r="9" spans="1:15" x14ac:dyDescent="0.25">
      <c r="A9" s="16"/>
    </row>
    <row r="10" spans="1:15" x14ac:dyDescent="0.25">
      <c r="A10" s="17"/>
      <c r="B10" s="18"/>
      <c r="C10" s="18"/>
      <c r="D10" s="18"/>
      <c r="E10" s="18"/>
      <c r="F10" s="18"/>
      <c r="G10" s="18"/>
      <c r="H10" s="18"/>
      <c r="I10" s="18"/>
      <c r="J10" s="18"/>
      <c r="K10" s="18"/>
      <c r="L10" s="18"/>
      <c r="M10" s="18"/>
      <c r="N10" s="18"/>
      <c r="O10" s="18"/>
    </row>
    <row r="11" spans="1:15" x14ac:dyDescent="0.25">
      <c r="A11" s="17"/>
      <c r="B11" s="18"/>
      <c r="C11" s="18"/>
      <c r="D11" s="18"/>
      <c r="E11" s="18"/>
      <c r="F11" s="18"/>
      <c r="G11" s="18"/>
      <c r="H11" s="18"/>
      <c r="I11" s="18"/>
      <c r="J11" s="18"/>
      <c r="K11" s="18"/>
      <c r="L11" s="18"/>
      <c r="M11" s="18"/>
      <c r="N11" s="18"/>
      <c r="O11" s="18"/>
    </row>
    <row r="12" spans="1:15" x14ac:dyDescent="0.25">
      <c r="A12" s="19"/>
      <c r="B12" s="18"/>
      <c r="C12" s="18"/>
      <c r="D12" s="18"/>
      <c r="E12" s="18"/>
      <c r="F12" s="18"/>
      <c r="G12" s="18"/>
      <c r="H12" s="18"/>
      <c r="I12" s="18"/>
      <c r="J12" s="18"/>
      <c r="K12" s="18"/>
      <c r="L12" s="18"/>
      <c r="M12" s="18"/>
      <c r="N12" s="18"/>
      <c r="O12" s="18"/>
    </row>
    <row r="13" spans="1:15" x14ac:dyDescent="0.25">
      <c r="B13" s="20"/>
      <c r="C13" s="20"/>
      <c r="D13" s="20"/>
      <c r="E13" s="20"/>
      <c r="F13" s="20"/>
      <c r="G13" s="20"/>
      <c r="H13" s="20"/>
      <c r="I13" s="20"/>
      <c r="J13" s="20"/>
      <c r="K13" s="20"/>
      <c r="L13" s="20"/>
      <c r="M13" s="20"/>
      <c r="N13" s="20"/>
      <c r="O13" s="20"/>
    </row>
  </sheetData>
  <mergeCells count="7">
    <mergeCell ref="L1:M1"/>
    <mergeCell ref="N1:O1"/>
    <mergeCell ref="B1:C1"/>
    <mergeCell ref="D1:E1"/>
    <mergeCell ref="F1:G1"/>
    <mergeCell ref="H1:I1"/>
    <mergeCell ref="J1:K1"/>
  </mergeCells>
  <pageMargins left="0.7" right="0.7" top="0.75" bottom="0.75" header="0.3" footer="0.3"/>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8"/>
  <sheetViews>
    <sheetView workbookViewId="0">
      <selection activeCell="D7" sqref="D7"/>
    </sheetView>
  </sheetViews>
  <sheetFormatPr defaultRowHeight="15" x14ac:dyDescent="0.25"/>
  <cols>
    <col min="1" max="1" width="38.42578125" bestFit="1" customWidth="1"/>
    <col min="2" max="2" width="10.42578125" bestFit="1" customWidth="1"/>
    <col min="3" max="3" width="9.42578125" bestFit="1" customWidth="1"/>
  </cols>
  <sheetData>
    <row r="1" spans="1:4" x14ac:dyDescent="0.25">
      <c r="A1" t="s">
        <v>14</v>
      </c>
      <c r="B1" t="s">
        <v>28</v>
      </c>
      <c r="C1" t="s">
        <v>29</v>
      </c>
      <c r="D1" t="s">
        <v>2</v>
      </c>
    </row>
    <row r="2" spans="1:4" ht="15.75" thickBot="1" x14ac:dyDescent="0.3">
      <c r="A2" s="22" t="s">
        <v>85</v>
      </c>
      <c r="B2" s="3">
        <v>-19063586.77</v>
      </c>
      <c r="C2" s="3">
        <v>-2619109.2599999998</v>
      </c>
      <c r="D2" s="21">
        <v>14</v>
      </c>
    </row>
    <row r="3" spans="1:4" ht="15.75" thickBot="1" x14ac:dyDescent="0.3">
      <c r="A3" s="22" t="s">
        <v>10</v>
      </c>
      <c r="B3" s="3">
        <v>-54270409.060000002</v>
      </c>
      <c r="C3" s="3">
        <v>-9574709.9399999995</v>
      </c>
      <c r="D3" s="21">
        <v>17</v>
      </c>
    </row>
    <row r="4" spans="1:4" ht="15.75" thickBot="1" x14ac:dyDescent="0.3">
      <c r="A4" s="22" t="s">
        <v>11</v>
      </c>
      <c r="B4" s="3">
        <v>-33502230.960000001</v>
      </c>
      <c r="C4" s="3">
        <v>-6419307.5700000003</v>
      </c>
      <c r="D4" s="21">
        <v>19</v>
      </c>
    </row>
    <row r="5" spans="1:4" ht="15.75" thickBot="1" x14ac:dyDescent="0.3">
      <c r="A5" s="22" t="s">
        <v>12</v>
      </c>
      <c r="B5" s="3">
        <v>-21102120.649999999</v>
      </c>
      <c r="C5" s="3">
        <v>-3391418.92</v>
      </c>
      <c r="D5" s="21">
        <v>16</v>
      </c>
    </row>
    <row r="6" spans="1:4" ht="15.75" thickBot="1" x14ac:dyDescent="0.3">
      <c r="A6" s="22" t="s">
        <v>13</v>
      </c>
      <c r="B6" s="3">
        <v>-32745410.690000001</v>
      </c>
      <c r="C6" s="3">
        <v>-4007650.14</v>
      </c>
      <c r="D6" s="21">
        <v>16</v>
      </c>
    </row>
    <row r="7" spans="1:4" ht="15.75" thickBot="1" x14ac:dyDescent="0.3">
      <c r="A7" s="22" t="s">
        <v>5</v>
      </c>
      <c r="B7" s="3">
        <v>-46741216.57</v>
      </c>
      <c r="C7" s="3">
        <v>-7088623.6600000001</v>
      </c>
      <c r="D7" s="21">
        <v>17</v>
      </c>
    </row>
    <row r="8" spans="1:4" ht="15.75" thickBot="1" x14ac:dyDescent="0.3">
      <c r="A8" s="4" t="s">
        <v>7</v>
      </c>
      <c r="B8" s="5">
        <v>-228130290.36000001</v>
      </c>
      <c r="C8" s="5">
        <v>-40563713.409999996</v>
      </c>
      <c r="D8" s="21">
        <f t="shared" ref="D8" si="0">C8/B8*100</f>
        <v>17.780941472519324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1"/>
  <sheetViews>
    <sheetView workbookViewId="0">
      <selection activeCell="I3" sqref="I3:J3"/>
    </sheetView>
  </sheetViews>
  <sheetFormatPr defaultRowHeight="15" x14ac:dyDescent="0.25"/>
  <cols>
    <col min="1" max="1" width="123.140625" style="75" customWidth="1"/>
  </cols>
  <sheetData>
    <row r="1" spans="1:1" ht="18" x14ac:dyDescent="0.25">
      <c r="A1" s="73" t="s">
        <v>92</v>
      </c>
    </row>
    <row r="2" spans="1:1" x14ac:dyDescent="0.25">
      <c r="A2" s="78"/>
    </row>
    <row r="3" spans="1:1" x14ac:dyDescent="0.25">
      <c r="A3" s="78" t="s">
        <v>90</v>
      </c>
    </row>
    <row r="4" spans="1:1" x14ac:dyDescent="0.25">
      <c r="A4" s="78" t="s">
        <v>93</v>
      </c>
    </row>
    <row r="5" spans="1:1" x14ac:dyDescent="0.25">
      <c r="A5" s="79" t="s">
        <v>94</v>
      </c>
    </row>
    <row r="6" spans="1:1" ht="37.5" customHeight="1" x14ac:dyDescent="0.25">
      <c r="A6" s="79" t="s">
        <v>95</v>
      </c>
    </row>
    <row r="7" spans="1:1" x14ac:dyDescent="0.25">
      <c r="A7" s="79" t="s">
        <v>96</v>
      </c>
    </row>
    <row r="8" spans="1:1" x14ac:dyDescent="0.25">
      <c r="A8" s="79"/>
    </row>
    <row r="9" spans="1:1" x14ac:dyDescent="0.25">
      <c r="A9" s="79" t="s">
        <v>97</v>
      </c>
    </row>
    <row r="10" spans="1:1" x14ac:dyDescent="0.25">
      <c r="A10" s="79"/>
    </row>
    <row r="11" spans="1:1" ht="28.5" x14ac:dyDescent="0.25">
      <c r="A11" s="79" t="s">
        <v>98</v>
      </c>
    </row>
    <row r="12" spans="1:1" x14ac:dyDescent="0.25">
      <c r="A12" s="79"/>
    </row>
    <row r="13" spans="1:1" ht="31.5" customHeight="1" x14ac:dyDescent="0.25">
      <c r="A13" s="79" t="s">
        <v>99</v>
      </c>
    </row>
    <row r="14" spans="1:1" ht="45" customHeight="1" x14ac:dyDescent="0.25">
      <c r="A14" s="79" t="s">
        <v>100</v>
      </c>
    </row>
    <row r="15" spans="1:1" x14ac:dyDescent="0.25">
      <c r="A15" s="79"/>
    </row>
    <row r="16" spans="1:1" ht="28.5" x14ac:dyDescent="0.25">
      <c r="A16" s="79" t="s">
        <v>101</v>
      </c>
    </row>
    <row r="17" spans="1:1" x14ac:dyDescent="0.25">
      <c r="A17" s="79"/>
    </row>
    <row r="18" spans="1:1" ht="58.5" customHeight="1" x14ac:dyDescent="0.25">
      <c r="A18" s="79" t="s">
        <v>102</v>
      </c>
    </row>
    <row r="19" spans="1:1" x14ac:dyDescent="0.25">
      <c r="A19" s="80"/>
    </row>
    <row r="20" spans="1:1" x14ac:dyDescent="0.25">
      <c r="A20" s="80"/>
    </row>
    <row r="21" spans="1:1" x14ac:dyDescent="0.25">
      <c r="A21" s="79"/>
    </row>
    <row r="22" spans="1:1" x14ac:dyDescent="0.25">
      <c r="A22" s="79"/>
    </row>
    <row r="23" spans="1:1" x14ac:dyDescent="0.25">
      <c r="A23" s="79" t="s">
        <v>103</v>
      </c>
    </row>
    <row r="24" spans="1:1" x14ac:dyDescent="0.25">
      <c r="A24" s="74" t="s">
        <v>91</v>
      </c>
    </row>
    <row r="25" spans="1:1" x14ac:dyDescent="0.25">
      <c r="A25" s="79"/>
    </row>
    <row r="26" spans="1:1" x14ac:dyDescent="0.25">
      <c r="A26" s="79" t="s">
        <v>104</v>
      </c>
    </row>
    <row r="27" spans="1:1" x14ac:dyDescent="0.25">
      <c r="A27" s="79"/>
    </row>
    <row r="28" spans="1:1" x14ac:dyDescent="0.25">
      <c r="A28" s="79" t="s">
        <v>105</v>
      </c>
    </row>
    <row r="29" spans="1:1" x14ac:dyDescent="0.25">
      <c r="A29" s="80" t="s">
        <v>106</v>
      </c>
    </row>
    <row r="30" spans="1:1" ht="17.25" customHeight="1" x14ac:dyDescent="0.25">
      <c r="A30" s="80" t="s">
        <v>107</v>
      </c>
    </row>
    <row r="31" spans="1:1" ht="39.75" customHeight="1" x14ac:dyDescent="0.25">
      <c r="A31" s="79" t="s">
        <v>108</v>
      </c>
    </row>
    <row r="32" spans="1:1" ht="30.75" customHeight="1" x14ac:dyDescent="0.25">
      <c r="A32" s="79" t="s">
        <v>109</v>
      </c>
    </row>
    <row r="33" spans="1:1" ht="18" customHeight="1" x14ac:dyDescent="0.25">
      <c r="A33" s="79" t="s">
        <v>110</v>
      </c>
    </row>
    <row r="34" spans="1:1" ht="54" customHeight="1" x14ac:dyDescent="0.25">
      <c r="A34" s="79" t="s">
        <v>111</v>
      </c>
    </row>
    <row r="35" spans="1:1" ht="71.25" x14ac:dyDescent="0.25">
      <c r="A35" s="79" t="s">
        <v>112</v>
      </c>
    </row>
    <row r="36" spans="1:1" x14ac:dyDescent="0.25">
      <c r="A36" s="79"/>
    </row>
    <row r="37" spans="1:1" x14ac:dyDescent="0.25">
      <c r="A37" s="79" t="s">
        <v>113</v>
      </c>
    </row>
    <row r="38" spans="1:1" ht="28.5" x14ac:dyDescent="0.25">
      <c r="A38" s="79" t="s">
        <v>114</v>
      </c>
    </row>
    <row r="39" spans="1:1" x14ac:dyDescent="0.25">
      <c r="A39" s="78"/>
    </row>
    <row r="40" spans="1:1" ht="28.5" x14ac:dyDescent="0.25">
      <c r="A40" s="78" t="s">
        <v>115</v>
      </c>
    </row>
    <row r="41" spans="1:1" x14ac:dyDescent="0.25">
      <c r="A41" s="72"/>
    </row>
    <row r="51" spans="1:1" x14ac:dyDescent="0.25">
      <c r="A51" s="76"/>
    </row>
  </sheetData>
  <hyperlinks>
    <hyperlink ref="A24" r:id="rId1" xr:uid="{00000000-0004-0000-0500-000000000000}"/>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0"/>
  <sheetViews>
    <sheetView workbookViewId="0">
      <selection activeCell="I3" sqref="I3:J3"/>
    </sheetView>
  </sheetViews>
  <sheetFormatPr defaultRowHeight="15" x14ac:dyDescent="0.25"/>
  <cols>
    <col min="1" max="1" width="118.7109375" style="75" customWidth="1"/>
  </cols>
  <sheetData>
    <row r="1" spans="1:1" ht="15.75" x14ac:dyDescent="0.25">
      <c r="A1" s="77" t="s">
        <v>116</v>
      </c>
    </row>
    <row r="2" spans="1:1" x14ac:dyDescent="0.25">
      <c r="A2" s="72"/>
    </row>
    <row r="3" spans="1:1" ht="28.5" x14ac:dyDescent="0.25">
      <c r="A3" s="78" t="s">
        <v>117</v>
      </c>
    </row>
    <row r="4" spans="1:1" x14ac:dyDescent="0.25">
      <c r="A4" s="78"/>
    </row>
    <row r="5" spans="1:1" x14ac:dyDescent="0.25">
      <c r="A5" s="79" t="s">
        <v>118</v>
      </c>
    </row>
    <row r="6" spans="1:1" x14ac:dyDescent="0.25">
      <c r="A6" s="79" t="s">
        <v>119</v>
      </c>
    </row>
    <row r="7" spans="1:1" x14ac:dyDescent="0.25">
      <c r="A7" s="79" t="s">
        <v>120</v>
      </c>
    </row>
    <row r="8" spans="1:1" x14ac:dyDescent="0.25">
      <c r="A8" s="79"/>
    </row>
    <row r="9" spans="1:1" ht="28.5" x14ac:dyDescent="0.25">
      <c r="A9" s="79" t="s">
        <v>121</v>
      </c>
    </row>
    <row r="10" spans="1:1" x14ac:dyDescent="0.25">
      <c r="A10" s="79"/>
    </row>
    <row r="11" spans="1:1" ht="42.75" x14ac:dyDescent="0.25">
      <c r="A11" s="79" t="s">
        <v>122</v>
      </c>
    </row>
    <row r="12" spans="1:1" x14ac:dyDescent="0.25">
      <c r="A12" s="79"/>
    </row>
    <row r="13" spans="1:1" ht="28.5" x14ac:dyDescent="0.25">
      <c r="A13" s="79" t="s">
        <v>123</v>
      </c>
    </row>
    <row r="14" spans="1:1" ht="42.75" x14ac:dyDescent="0.25">
      <c r="A14" s="79" t="s">
        <v>124</v>
      </c>
    </row>
    <row r="15" spans="1:1" x14ac:dyDescent="0.25">
      <c r="A15" s="79"/>
    </row>
    <row r="16" spans="1:1" ht="42.75" x14ac:dyDescent="0.25">
      <c r="A16" s="79" t="s">
        <v>125</v>
      </c>
    </row>
    <row r="17" spans="1:1" x14ac:dyDescent="0.25">
      <c r="A17" s="79"/>
    </row>
    <row r="18" spans="1:1" ht="71.25" x14ac:dyDescent="0.25">
      <c r="A18" s="79" t="s">
        <v>126</v>
      </c>
    </row>
    <row r="19" spans="1:1" x14ac:dyDescent="0.25">
      <c r="A19" s="80"/>
    </row>
    <row r="20" spans="1:1" x14ac:dyDescent="0.25">
      <c r="A20" s="80"/>
    </row>
    <row r="21" spans="1:1" x14ac:dyDescent="0.25">
      <c r="A21" s="79"/>
    </row>
    <row r="22" spans="1:1" ht="28.5" x14ac:dyDescent="0.25">
      <c r="A22" s="79" t="s">
        <v>127</v>
      </c>
    </row>
    <row r="23" spans="1:1" x14ac:dyDescent="0.25">
      <c r="A23" s="74" t="s">
        <v>128</v>
      </c>
    </row>
    <row r="24" spans="1:1" x14ac:dyDescent="0.25">
      <c r="A24" s="79"/>
    </row>
    <row r="25" spans="1:1" x14ac:dyDescent="0.25">
      <c r="A25" s="79"/>
    </row>
    <row r="26" spans="1:1" ht="28.5" x14ac:dyDescent="0.25">
      <c r="A26" s="79" t="s">
        <v>129</v>
      </c>
    </row>
    <row r="27" spans="1:1" x14ac:dyDescent="0.25">
      <c r="A27" s="79"/>
    </row>
    <row r="28" spans="1:1" x14ac:dyDescent="0.25">
      <c r="A28" s="79" t="s">
        <v>130</v>
      </c>
    </row>
    <row r="29" spans="1:1" x14ac:dyDescent="0.25">
      <c r="A29" s="81" t="s">
        <v>131</v>
      </c>
    </row>
    <row r="30" spans="1:1" x14ac:dyDescent="0.25">
      <c r="A30" s="81" t="s">
        <v>132</v>
      </c>
    </row>
    <row r="31" spans="1:1" ht="28.5" x14ac:dyDescent="0.25">
      <c r="A31" s="80" t="s">
        <v>133</v>
      </c>
    </row>
    <row r="32" spans="1:1" ht="28.5" x14ac:dyDescent="0.25">
      <c r="A32" s="80" t="s">
        <v>134</v>
      </c>
    </row>
    <row r="33" spans="1:1" ht="28.5" x14ac:dyDescent="0.25">
      <c r="A33" s="79" t="s">
        <v>135</v>
      </c>
    </row>
    <row r="34" spans="1:1" ht="42.75" x14ac:dyDescent="0.25">
      <c r="A34" s="79" t="s">
        <v>136</v>
      </c>
    </row>
    <row r="35" spans="1:1" ht="57" x14ac:dyDescent="0.25">
      <c r="A35" s="79" t="s">
        <v>137</v>
      </c>
    </row>
    <row r="36" spans="1:1" x14ac:dyDescent="0.25">
      <c r="A36" s="79"/>
    </row>
    <row r="37" spans="1:1" ht="28.5" x14ac:dyDescent="0.25">
      <c r="A37" s="79" t="s">
        <v>138</v>
      </c>
    </row>
    <row r="38" spans="1:1" ht="28.5" x14ac:dyDescent="0.25">
      <c r="A38" s="79" t="s">
        <v>139</v>
      </c>
    </row>
    <row r="39" spans="1:1" x14ac:dyDescent="0.25">
      <c r="A39" s="78"/>
    </row>
    <row r="40" spans="1:1" ht="42.75" x14ac:dyDescent="0.25">
      <c r="A40" s="78" t="s">
        <v>140</v>
      </c>
    </row>
  </sheetData>
  <hyperlinks>
    <hyperlink ref="A23"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Q25"/>
  <sheetViews>
    <sheetView workbookViewId="0">
      <selection activeCell="I3" sqref="I3:J3"/>
    </sheetView>
  </sheetViews>
  <sheetFormatPr defaultRowHeight="15" x14ac:dyDescent="0.25"/>
  <cols>
    <col min="1" max="1" width="21" customWidth="1"/>
    <col min="2" max="2" width="7.42578125" bestFit="1" customWidth="1"/>
    <col min="4" max="4" width="7.42578125" bestFit="1" customWidth="1"/>
    <col min="6" max="9" width="9.85546875" bestFit="1" customWidth="1"/>
    <col min="11" max="13" width="9.85546875" bestFit="1" customWidth="1"/>
    <col min="15" max="17" width="9.85546875" bestFit="1" customWidth="1"/>
  </cols>
  <sheetData>
    <row r="1" spans="1:17" x14ac:dyDescent="0.25">
      <c r="A1" s="6" t="s">
        <v>0</v>
      </c>
      <c r="B1" s="111" t="s">
        <v>15</v>
      </c>
      <c r="C1" s="112"/>
      <c r="D1" s="111" t="s">
        <v>8</v>
      </c>
      <c r="E1" s="112"/>
      <c r="F1" s="111" t="s">
        <v>9</v>
      </c>
      <c r="G1" s="112"/>
      <c r="H1" s="111" t="s">
        <v>10</v>
      </c>
      <c r="I1" s="112"/>
      <c r="J1" s="111" t="s">
        <v>11</v>
      </c>
      <c r="K1" s="112"/>
      <c r="L1" s="111" t="s">
        <v>12</v>
      </c>
      <c r="M1" s="112"/>
      <c r="N1" s="111" t="s">
        <v>13</v>
      </c>
      <c r="O1" s="112"/>
      <c r="P1" s="111" t="s">
        <v>5</v>
      </c>
      <c r="Q1" s="112"/>
    </row>
    <row r="2" spans="1:17" x14ac:dyDescent="0.25">
      <c r="A2" s="7"/>
      <c r="B2" s="8" t="s">
        <v>16</v>
      </c>
      <c r="C2" s="8" t="s">
        <v>17</v>
      </c>
      <c r="D2" s="8" t="s">
        <v>16</v>
      </c>
      <c r="E2" s="8" t="s">
        <v>17</v>
      </c>
      <c r="F2" s="8" t="s">
        <v>16</v>
      </c>
      <c r="G2" s="8" t="s">
        <v>17</v>
      </c>
      <c r="H2" s="8" t="s">
        <v>16</v>
      </c>
      <c r="I2" s="8" t="s">
        <v>17</v>
      </c>
      <c r="J2" s="8" t="s">
        <v>16</v>
      </c>
      <c r="K2" s="8" t="s">
        <v>17</v>
      </c>
      <c r="L2" s="8" t="s">
        <v>16</v>
      </c>
      <c r="M2" s="8" t="s">
        <v>17</v>
      </c>
      <c r="N2" s="8" t="s">
        <v>16</v>
      </c>
      <c r="O2" s="8" t="s">
        <v>17</v>
      </c>
      <c r="P2" s="8" t="s">
        <v>16</v>
      </c>
      <c r="Q2" s="8" t="s">
        <v>17</v>
      </c>
    </row>
    <row r="3" spans="1:17" x14ac:dyDescent="0.25">
      <c r="A3" s="9" t="s">
        <v>18</v>
      </c>
      <c r="B3" s="10">
        <v>452604.19000000134</v>
      </c>
      <c r="C3" s="10">
        <v>1200095.3599999994</v>
      </c>
      <c r="D3" s="10">
        <v>0</v>
      </c>
      <c r="E3" s="10">
        <v>2556826.2000000011</v>
      </c>
      <c r="F3" s="10">
        <v>31469067.780000001</v>
      </c>
      <c r="G3" s="10">
        <v>19758653.509999998</v>
      </c>
      <c r="H3" s="10">
        <v>24333327.859999999</v>
      </c>
      <c r="I3" s="10">
        <v>56087772.420000002</v>
      </c>
      <c r="J3" s="10">
        <v>6617316.04</v>
      </c>
      <c r="K3" s="10">
        <v>33394766.830000002</v>
      </c>
      <c r="L3" s="10">
        <v>16055254.82</v>
      </c>
      <c r="M3" s="10">
        <v>20432973.689999998</v>
      </c>
      <c r="N3" s="10">
        <v>7124914.9399999995</v>
      </c>
      <c r="O3" s="10">
        <v>30731136.640000001</v>
      </c>
      <c r="P3" s="10">
        <v>14582964.530000001</v>
      </c>
      <c r="Q3" s="10">
        <v>45993143.239999995</v>
      </c>
    </row>
    <row r="4" spans="1:17" x14ac:dyDescent="0.25">
      <c r="A4" s="9" t="s">
        <v>19</v>
      </c>
      <c r="B4" s="10">
        <v>452604.19000000134</v>
      </c>
      <c r="C4" s="10">
        <v>1200095.3599999994</v>
      </c>
      <c r="D4" s="10">
        <v>0</v>
      </c>
      <c r="E4" s="10">
        <v>2556826.2000000011</v>
      </c>
      <c r="F4" s="10">
        <v>28314336.48</v>
      </c>
      <c r="G4" s="10">
        <v>18554949.039999999</v>
      </c>
      <c r="H4" s="10">
        <v>20721503.859999999</v>
      </c>
      <c r="I4" s="10">
        <v>52372248.420000002</v>
      </c>
      <c r="J4" s="10">
        <v>5942817.04</v>
      </c>
      <c r="K4" s="10">
        <v>31153426.830000002</v>
      </c>
      <c r="L4" s="10">
        <v>14429624.98</v>
      </c>
      <c r="M4" s="10">
        <v>19731215.659999996</v>
      </c>
      <c r="N4" s="10">
        <v>6058252.6600000011</v>
      </c>
      <c r="O4" s="10">
        <v>27644577.660000004</v>
      </c>
      <c r="P4" s="10">
        <v>12496348.210000001</v>
      </c>
      <c r="Q4" s="10">
        <v>42924723.849999994</v>
      </c>
    </row>
    <row r="5" spans="1:17" x14ac:dyDescent="0.25">
      <c r="A5" s="11" t="s">
        <v>20</v>
      </c>
      <c r="B5" s="12">
        <v>118848.94935808626</v>
      </c>
      <c r="C5" s="12">
        <v>276583.46480726096</v>
      </c>
      <c r="D5" s="12">
        <v>0</v>
      </c>
      <c r="E5" s="12">
        <v>589266.38071993168</v>
      </c>
      <c r="F5" s="12">
        <v>8263435.7470959192</v>
      </c>
      <c r="G5" s="12">
        <v>4553735.5029203268</v>
      </c>
      <c r="H5" s="12">
        <v>6389667.8697270593</v>
      </c>
      <c r="I5" s="12">
        <v>12926431.470616419</v>
      </c>
      <c r="J5" s="12">
        <v>1737635.3915866525</v>
      </c>
      <c r="K5" s="12">
        <v>7696421.9878926929</v>
      </c>
      <c r="L5" s="12">
        <v>4215935.7098159986</v>
      </c>
      <c r="M5" s="12">
        <v>4709144.6628839616</v>
      </c>
      <c r="N5" s="12">
        <v>1870925.3550762087</v>
      </c>
      <c r="O5" s="12">
        <v>7082540.7152283071</v>
      </c>
      <c r="P5" s="12">
        <v>3829328.2545986446</v>
      </c>
      <c r="Q5" s="12">
        <v>10599943.4200761</v>
      </c>
    </row>
    <row r="6" spans="1:17" x14ac:dyDescent="0.25">
      <c r="A6" s="11" t="s">
        <v>21</v>
      </c>
      <c r="B6" s="12">
        <v>114801.08788722313</v>
      </c>
      <c r="C6" s="12">
        <v>130918.62505782253</v>
      </c>
      <c r="D6" s="12">
        <v>0</v>
      </c>
      <c r="E6" s="12">
        <v>278924.64363483374</v>
      </c>
      <c r="F6" s="12">
        <v>7981992.4246409452</v>
      </c>
      <c r="G6" s="12">
        <v>2155475.1703423969</v>
      </c>
      <c r="H6" s="12">
        <v>6172042.9725682978</v>
      </c>
      <c r="I6" s="12">
        <v>6118625.4797139317</v>
      </c>
      <c r="J6" s="12">
        <v>1678453.4855622284</v>
      </c>
      <c r="K6" s="12">
        <v>3643041.2975767036</v>
      </c>
      <c r="L6" s="12">
        <v>4072345.6838580691</v>
      </c>
      <c r="M6" s="12">
        <v>2229036.883650199</v>
      </c>
      <c r="N6" s="12">
        <v>1807203.7428905081</v>
      </c>
      <c r="O6" s="12">
        <v>3352465.3868946498</v>
      </c>
      <c r="P6" s="12">
        <v>3698905.6435044995</v>
      </c>
      <c r="Q6" s="12">
        <v>5017400.5131294625</v>
      </c>
    </row>
    <row r="7" spans="1:17" x14ac:dyDescent="0.25">
      <c r="A7" s="13" t="s">
        <v>22</v>
      </c>
      <c r="B7" s="12">
        <v>0</v>
      </c>
      <c r="C7" s="12">
        <v>0</v>
      </c>
      <c r="D7" s="12">
        <v>0</v>
      </c>
      <c r="E7" s="12">
        <v>0</v>
      </c>
      <c r="F7" s="12">
        <v>5056501</v>
      </c>
      <c r="G7" s="12">
        <v>2250822</v>
      </c>
      <c r="H7" s="12">
        <v>5151806</v>
      </c>
      <c r="I7" s="12">
        <v>8656824</v>
      </c>
      <c r="J7" s="12">
        <v>767138</v>
      </c>
      <c r="K7" s="12">
        <v>3214227</v>
      </c>
      <c r="L7" s="12">
        <v>2744272</v>
      </c>
      <c r="M7" s="12">
        <v>2064892</v>
      </c>
      <c r="N7" s="12">
        <v>1002174</v>
      </c>
      <c r="O7" s="12">
        <v>2979402</v>
      </c>
      <c r="P7" s="12">
        <v>2536711</v>
      </c>
      <c r="Q7" s="12">
        <v>4971900</v>
      </c>
    </row>
    <row r="8" spans="1:17" ht="15.75" thickBot="1" x14ac:dyDescent="0.3">
      <c r="A8" s="14" t="s">
        <v>23</v>
      </c>
      <c r="B8" s="15">
        <v>233650.03724530939</v>
      </c>
      <c r="C8" s="15">
        <v>407502.08986508346</v>
      </c>
      <c r="D8" s="15">
        <v>0</v>
      </c>
      <c r="E8" s="15">
        <v>868191.02435476542</v>
      </c>
      <c r="F8" s="15">
        <v>21301929.171736866</v>
      </c>
      <c r="G8" s="15">
        <v>8960032.6732627228</v>
      </c>
      <c r="H8" s="15">
        <v>17713516.842295356</v>
      </c>
      <c r="I8" s="15">
        <v>27701880.950330351</v>
      </c>
      <c r="J8" s="15">
        <v>4183226.8771488806</v>
      </c>
      <c r="K8" s="15">
        <v>14553690.285469396</v>
      </c>
      <c r="L8" s="15">
        <v>11032553.393674068</v>
      </c>
      <c r="M8" s="15">
        <v>9003073.5465341602</v>
      </c>
      <c r="N8" s="15">
        <v>4680303.0979667166</v>
      </c>
      <c r="O8" s="15">
        <v>13414408.102122957</v>
      </c>
      <c r="P8" s="15">
        <v>10064944.898103144</v>
      </c>
      <c r="Q8" s="15">
        <v>20589243.933205564</v>
      </c>
    </row>
    <row r="9" spans="1:17" x14ac:dyDescent="0.25">
      <c r="A9" s="16" t="s">
        <v>24</v>
      </c>
    </row>
    <row r="10" spans="1:17" x14ac:dyDescent="0.25">
      <c r="A10" s="17" t="s">
        <v>25</v>
      </c>
      <c r="B10" s="18">
        <v>0.26258914960130153</v>
      </c>
      <c r="C10" s="18">
        <v>0.23046790615644169</v>
      </c>
      <c r="D10" s="18" t="e">
        <v>#DIV/0!</v>
      </c>
      <c r="E10" s="18">
        <v>0.23046790615644169</v>
      </c>
      <c r="F10" s="18">
        <v>0.29184634974345403</v>
      </c>
      <c r="G10" s="18">
        <v>0.24541891724431958</v>
      </c>
      <c r="H10" s="18">
        <v>0.30835927319259054</v>
      </c>
      <c r="I10" s="18">
        <v>0.2468183410219992</v>
      </c>
      <c r="J10" s="18">
        <v>0.29239254378705432</v>
      </c>
      <c r="K10" s="18">
        <v>0.24704896928004155</v>
      </c>
      <c r="L10" s="18">
        <v>0.29217223009325904</v>
      </c>
      <c r="M10" s="18">
        <v>0.23866469983552765</v>
      </c>
      <c r="N10" s="18">
        <v>0.30882260283218499</v>
      </c>
      <c r="O10" s="18">
        <v>0.25619999706041108</v>
      </c>
      <c r="P10" s="18">
        <v>0.30643578349827721</v>
      </c>
      <c r="Q10" s="18">
        <v>0.24694261184108007</v>
      </c>
    </row>
    <row r="11" spans="1:17" x14ac:dyDescent="0.25">
      <c r="A11" s="17" t="s">
        <v>26</v>
      </c>
      <c r="B11" s="18">
        <v>0.25364565866529604</v>
      </c>
      <c r="C11" s="18">
        <v>0.10909018518146975</v>
      </c>
      <c r="D11" s="18" t="e">
        <v>#DIV/0!</v>
      </c>
      <c r="E11" s="18">
        <v>0.10909018518146975</v>
      </c>
      <c r="F11" s="18">
        <v>0.28190639149460817</v>
      </c>
      <c r="G11" s="18">
        <v>0.11616712962647927</v>
      </c>
      <c r="H11" s="18">
        <v>0.29785690335355314</v>
      </c>
      <c r="I11" s="18">
        <v>0.11682953595281086</v>
      </c>
      <c r="J11" s="18">
        <v>0.28243398278373189</v>
      </c>
      <c r="K11" s="18">
        <v>0.11693870203930638</v>
      </c>
      <c r="L11" s="18">
        <v>0.28222117272642167</v>
      </c>
      <c r="M11" s="18">
        <v>0.1129700735149838</v>
      </c>
      <c r="N11" s="18">
        <v>0.2983044525070217</v>
      </c>
      <c r="O11" s="18">
        <v>0.12127026963936802</v>
      </c>
      <c r="P11" s="18">
        <v>0.29599892555366775</v>
      </c>
      <c r="Q11" s="18">
        <v>0.11688835857541488</v>
      </c>
    </row>
    <row r="12" spans="1:17" x14ac:dyDescent="0.25">
      <c r="A12" s="19" t="s">
        <v>27</v>
      </c>
      <c r="B12" s="18">
        <v>0</v>
      </c>
      <c r="C12" s="18">
        <v>0</v>
      </c>
      <c r="D12" s="18" t="e">
        <v>#DIV/0!</v>
      </c>
      <c r="E12" s="18">
        <v>0</v>
      </c>
      <c r="F12" s="18">
        <v>0.17858447799303684</v>
      </c>
      <c r="G12" s="18">
        <v>0.12130574948752325</v>
      </c>
      <c r="H12" s="18">
        <v>0.24862124075583383</v>
      </c>
      <c r="I12" s="18">
        <v>0.16529410634763042</v>
      </c>
      <c r="J12" s="18">
        <v>0.12908659224010033</v>
      </c>
      <c r="K12" s="18">
        <v>0.10317410721907411</v>
      </c>
      <c r="L12" s="18">
        <v>0.19018318243222979</v>
      </c>
      <c r="M12" s="18">
        <v>0.10465102787285638</v>
      </c>
      <c r="N12" s="18">
        <v>0.16542294556595794</v>
      </c>
      <c r="O12" s="18">
        <v>0.10777527646266091</v>
      </c>
      <c r="P12" s="18">
        <v>0.20299618395476832</v>
      </c>
      <c r="Q12" s="18">
        <v>0.11582835145018645</v>
      </c>
    </row>
    <row r="13" spans="1:17" x14ac:dyDescent="0.25">
      <c r="E13" s="20">
        <f>SUM(E10:E12)</f>
        <v>0.33955809133791143</v>
      </c>
      <c r="G13" s="20">
        <f>SUM(G10:G12)</f>
        <v>0.48289179635832213</v>
      </c>
      <c r="I13" s="20">
        <f>SUM(I10:I12)</f>
        <v>0.52894198332244047</v>
      </c>
      <c r="K13" s="20">
        <f>SUM(K10:K12)</f>
        <v>0.46716177853842206</v>
      </c>
      <c r="M13" s="20">
        <f>SUM(M10:M12)</f>
        <v>0.45628580122336782</v>
      </c>
      <c r="O13" s="20">
        <f>SUM(O10:O12)</f>
        <v>0.48524554316244006</v>
      </c>
      <c r="Q13" s="20">
        <f>SUM(Q10:Q12)</f>
        <v>0.47965932186668137</v>
      </c>
    </row>
    <row r="15" spans="1:17" x14ac:dyDescent="0.25">
      <c r="D15" s="20" t="e">
        <f>SUM(D10:D14)</f>
        <v>#DIV/0!</v>
      </c>
      <c r="F15" s="20">
        <f>SUM(F10:F14)</f>
        <v>0.75233721923109909</v>
      </c>
      <c r="H15" s="20">
        <f>SUM(H10:H14)</f>
        <v>0.85483741730197749</v>
      </c>
      <c r="J15" s="20">
        <f>SUM(J10:J14)</f>
        <v>0.70391311881088647</v>
      </c>
      <c r="L15" s="20">
        <f>SUM(L10:L14)</f>
        <v>0.76457658525191041</v>
      </c>
      <c r="N15" s="20">
        <f>SUM(N10:N14)</f>
        <v>0.77255000090516468</v>
      </c>
      <c r="P15" s="20">
        <f>SUM(P10:P14)</f>
        <v>0.80543089300671333</v>
      </c>
    </row>
    <row r="18" spans="6:11" x14ac:dyDescent="0.25">
      <c r="F18">
        <v>0.75233721923109909</v>
      </c>
    </row>
    <row r="19" spans="6:11" x14ac:dyDescent="0.25">
      <c r="F19">
        <v>0.85483741730197749</v>
      </c>
    </row>
    <row r="20" spans="6:11" x14ac:dyDescent="0.25">
      <c r="F20">
        <v>0.70391311881088647</v>
      </c>
    </row>
    <row r="21" spans="6:11" x14ac:dyDescent="0.25">
      <c r="F21">
        <v>0.76457658525191041</v>
      </c>
    </row>
    <row r="22" spans="6:11" x14ac:dyDescent="0.25">
      <c r="F22">
        <v>0.77255000090516468</v>
      </c>
      <c r="K22" s="18">
        <v>0.24541891724431958</v>
      </c>
    </row>
    <row r="23" spans="6:11" x14ac:dyDescent="0.25">
      <c r="F23">
        <v>0.80543089300671333</v>
      </c>
      <c r="K23" s="18">
        <v>0.11616712962647927</v>
      </c>
    </row>
    <row r="24" spans="6:11" x14ac:dyDescent="0.25">
      <c r="K24" s="18">
        <v>0.12130574948752325</v>
      </c>
    </row>
    <row r="25" spans="6:11" x14ac:dyDescent="0.25">
      <c r="K25" s="20">
        <f>SUM(K22:K24)</f>
        <v>0.48289179635832213</v>
      </c>
    </row>
  </sheetData>
  <mergeCells count="8">
    <mergeCell ref="L1:M1"/>
    <mergeCell ref="N1:O1"/>
    <mergeCell ref="P1:Q1"/>
    <mergeCell ref="B1:C1"/>
    <mergeCell ref="D1:E1"/>
    <mergeCell ref="F1:G1"/>
    <mergeCell ref="H1:I1"/>
    <mergeCell ref="J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A8"/>
  <sheetViews>
    <sheetView workbookViewId="0">
      <selection activeCell="I3" sqref="I3:J3"/>
    </sheetView>
  </sheetViews>
  <sheetFormatPr defaultRowHeight="15" x14ac:dyDescent="0.25"/>
  <sheetData>
    <row r="2" spans="1:1" x14ac:dyDescent="0.25">
      <c r="A2" t="s">
        <v>43</v>
      </c>
    </row>
    <row r="4" spans="1:1" x14ac:dyDescent="0.25">
      <c r="A4" t="s">
        <v>42</v>
      </c>
    </row>
    <row r="6" spans="1:1" x14ac:dyDescent="0.25">
      <c r="A6" t="s">
        <v>45</v>
      </c>
    </row>
    <row r="8" spans="1:1" x14ac:dyDescent="0.25">
      <c r="A8"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Kalkyl</vt:lpstr>
      <vt:lpstr>Underlag - låst</vt:lpstr>
      <vt:lpstr>Lokaler</vt:lpstr>
      <vt:lpstr>SUHF</vt:lpstr>
      <vt:lpstr>Lokaler - låst</vt:lpstr>
      <vt:lpstr>Vägledning</vt:lpstr>
      <vt:lpstr>Guide</vt:lpstr>
      <vt:lpstr>TB  - låst</vt:lpstr>
      <vt:lpstr>Info</vt:lpstr>
      <vt:lpstr>Vägledning!_Hlk39764071</vt:lpstr>
      <vt:lpstr>Kalkyl!Print_Area</vt:lpstr>
    </vt:vector>
  </TitlesOfParts>
  <Company>KTH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ulfarv</dc:creator>
  <cp:lastModifiedBy>Per Olsson</cp:lastModifiedBy>
  <cp:lastPrinted>2020-10-07T13:01:46Z</cp:lastPrinted>
  <dcterms:created xsi:type="dcterms:W3CDTF">2019-03-07T07:12:54Z</dcterms:created>
  <dcterms:modified xsi:type="dcterms:W3CDTF">2024-03-26T13:09:13Z</dcterms:modified>
</cp:coreProperties>
</file>